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7545" windowHeight="4785" tabRatio="595" activeTab="7"/>
  </bookViews>
  <sheets>
    <sheet name="K.Phi" sheetId="1" r:id="rId1"/>
    <sheet name="Luu" sheetId="2" state="hidden" r:id="rId2"/>
    <sheet name="Gao" sheetId="3" r:id="rId3"/>
    <sheet name="Giong-2020" sheetId="4" r:id="rId4"/>
    <sheet name="HC. TW" sheetId="5" r:id="rId5"/>
    <sheet name="HC.DP" sheetId="6" r:id="rId6"/>
    <sheet name="Sheet1" sheetId="7" state="hidden" r:id="rId7"/>
    <sheet name="Nha" sheetId="8" r:id="rId8"/>
    <sheet name="D.sinh" sheetId="9" state="hidden" r:id="rId9"/>
    <sheet name="Tong hop" sheetId="10" state="hidden" r:id="rId10"/>
  </sheets>
  <externalReferences>
    <externalReference r:id="rId13"/>
  </externalReferences>
  <definedNames>
    <definedName name="_xlnm.Print_Area" localSheetId="2">'Gao'!$A$2:$G$14</definedName>
    <definedName name="_xlnm.Print_Area" localSheetId="3">'Giong-2020'!$A$2:$L$12</definedName>
    <definedName name="_xlnm.Print_Area" localSheetId="4">'HC. TW'!$A$2:$M$12</definedName>
    <definedName name="_xlnm.Print_Area" localSheetId="5">'HC.DP'!$A$2:$R$14</definedName>
    <definedName name="_xlnm.Print_Area" localSheetId="0">'K.Phi'!$A$2:$O$15</definedName>
    <definedName name="_xlnm.Print_Area" localSheetId="7">'Nha'!$A$2:$K$22</definedName>
    <definedName name="_xlnm.Print_Area" localSheetId="9">'Tong hop'!$A$2:$H$19</definedName>
    <definedName name="_xlnm.Print_Titles" localSheetId="0">'K.Phi'!$3:$5</definedName>
  </definedNames>
  <calcPr fullCalcOnLoad="1"/>
</workbook>
</file>

<file path=xl/comments1.xml><?xml version="1.0" encoding="utf-8"?>
<comments xmlns="http://schemas.openxmlformats.org/spreadsheetml/2006/main">
  <authors>
    <author>Admin</author>
    <author>Windows User</author>
  </authors>
  <commentList>
    <comment ref="N11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Mua sam thiet bi cho LLXK và VPTT BCH
</t>
        </r>
      </text>
    </comment>
    <comment ref="N10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KP các công trình CSHT (trụ sở cơ quan, nhà văn hóa, thông tin liên lạc, điện…)</t>
        </r>
      </text>
    </comment>
  </commentList>
</comments>
</file>

<file path=xl/comments2.xml><?xml version="1.0" encoding="utf-8"?>
<comments xmlns="http://schemas.openxmlformats.org/spreadsheetml/2006/main">
  <authors>
    <author>Admin</author>
  </authors>
  <commentList>
    <comment ref="P8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Mua xe gầm cao phục vụ PCTT
</t>
        </r>
      </text>
    </comment>
    <comment ref="P11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Mua sam thiet bi cho LLXK và VPTT BCH
</t>
        </r>
      </text>
    </comment>
  </commentList>
</comments>
</file>

<file path=xl/sharedStrings.xml><?xml version="1.0" encoding="utf-8"?>
<sst xmlns="http://schemas.openxmlformats.org/spreadsheetml/2006/main" count="374" uniqueCount="125">
  <si>
    <t>Quảng Ngãi</t>
  </si>
  <si>
    <t>Quảng Trị</t>
  </si>
  <si>
    <t>STT</t>
  </si>
  <si>
    <t>Quảng Nam</t>
  </si>
  <si>
    <t>Bình Định</t>
  </si>
  <si>
    <t>Phú Yên</t>
  </si>
  <si>
    <t>Gia Lai</t>
  </si>
  <si>
    <t>Nghệ An</t>
  </si>
  <si>
    <t>Hà Tĩnh</t>
  </si>
  <si>
    <t>(tỷ đồng)</t>
  </si>
  <si>
    <t>Tổng</t>
  </si>
  <si>
    <t>Quảng Bình</t>
  </si>
  <si>
    <t>Tổng cộng</t>
  </si>
  <si>
    <t>(Tỷ đồng)</t>
  </si>
  <si>
    <t>Kon Tum</t>
  </si>
  <si>
    <t>Đắk Lắk</t>
  </si>
  <si>
    <t>Lúa</t>
  </si>
  <si>
    <t>Ngô</t>
  </si>
  <si>
    <t>Rau</t>
  </si>
  <si>
    <t>Thừa Thiên Huế</t>
  </si>
  <si>
    <t>Đắk Nông</t>
  </si>
  <si>
    <t>TỈNH</t>
  </si>
  <si>
    <t>(Tấn)</t>
  </si>
  <si>
    <t>Cloramin B</t>
  </si>
  <si>
    <t>(nhà)</t>
  </si>
  <si>
    <t>Nhà</t>
  </si>
  <si>
    <t>Công trình</t>
  </si>
  <si>
    <t>Tổng kinh phí</t>
  </si>
  <si>
    <t>(liều)</t>
  </si>
  <si>
    <t>(lít)</t>
  </si>
  <si>
    <t>(viên)</t>
  </si>
  <si>
    <t>(tấn)</t>
  </si>
  <si>
    <t>Vắcxin Dịch 
tả lợn</t>
  </si>
  <si>
    <t>Vetvaco - Iodie</t>
  </si>
  <si>
    <t>Vắcxin Tụ huyết trùng Trâu bò</t>
  </si>
  <si>
    <t xml:space="preserve">Phụ lục 1
TỔNG HỢP ĐỀ XUẤT HỖ TRỢ GẠO KHẮC PHỤC HẬU QUẢ THIÊN TAI DO BÃO SỐ 5,6,7,8,9 VÀ MƯA LŨ
</t>
  </si>
  <si>
    <t>Trung ương đã hỗ trợ</t>
  </si>
  <si>
    <t xml:space="preserve">Phụ lục 2
TỔNG HỢP ĐỀ XUẤT HỖ TRỢ KINH PHÍ KHẮC PHỤC HẬU QUẢ DÂN SINH BỊ ẢNH HƯỞNG DO BÃO SỐ 5,6,7,8,9 VÀ MƯA LŨ NĂM 2020
</t>
  </si>
  <si>
    <t>Kinh phí</t>
  </si>
  <si>
    <t>Dân sinh</t>
  </si>
  <si>
    <t>Nông nghiệp</t>
  </si>
  <si>
    <t>(Liều)</t>
  </si>
  <si>
    <t>Gạo</t>
  </si>
  <si>
    <t>QĐ 1676/QĐ-TTg ngày 27/10/2020</t>
  </si>
  <si>
    <t>QĐ 1599/QĐ-TTg ngày 19/10/2020</t>
  </si>
  <si>
    <t>Văn bản số</t>
  </si>
  <si>
    <t>215/BC-UBND ngày 04/11/2020</t>
  </si>
  <si>
    <t>1640/QĐ-TTg ngày 23/10/2020</t>
  </si>
  <si>
    <t>Giao thông, thủy lợi</t>
  </si>
  <si>
    <t>Tái định cư</t>
  </si>
  <si>
    <t>Kè chống sạt lở</t>
  </si>
  <si>
    <t>Lâu dài</t>
  </si>
  <si>
    <t>394/BC-UBND ngày 29/10/2020</t>
  </si>
  <si>
    <t>Đề xuất của địa phương để khắc phục hậu quả thiên tai</t>
  </si>
  <si>
    <t>Y tế, 
giáo dục</t>
  </si>
  <si>
    <t>Hỗ trợ khác</t>
  </si>
  <si>
    <t>Kinh phí
 tương đương</t>
  </si>
  <si>
    <t>Aquatabs</t>
  </si>
  <si>
    <t>Viên</t>
  </si>
  <si>
    <t>Hóa chất Chlorine 65%min</t>
  </si>
  <si>
    <t>Han-iodine</t>
  </si>
  <si>
    <t xml:space="preserve">Hóa chất sát trùng Benkocid </t>
  </si>
  <si>
    <t>Vắcxin lở mồm long móng</t>
  </si>
  <si>
    <t>193/BC-UBND ngày 30/10/2020</t>
  </si>
  <si>
    <t>Số văn bản</t>
  </si>
  <si>
    <t>370/TB-VPCP ngày 29/10/2020</t>
  </si>
  <si>
    <t>7584/UBND-NN ngày 31/10/2020</t>
  </si>
  <si>
    <t>Thủy sản</t>
  </si>
  <si>
    <t>230/BC-UBND ngày 1/11/2020</t>
  </si>
  <si>
    <t>127/TTr-UBND ngày 31/10/2020</t>
  </si>
  <si>
    <t>Nước sạch</t>
  </si>
  <si>
    <t>2224/TTr-UBND ngày 30/10/2020</t>
  </si>
  <si>
    <t>Theo cuộc họp tại Quảng Nam (Nhà hư hại hoàn toàn: 40.000.000; hư hại một phần: 10.000.000)</t>
  </si>
  <si>
    <t>Bò</t>
  </si>
  <si>
    <t>Lợn</t>
  </si>
  <si>
    <t>(Con)</t>
  </si>
  <si>
    <t>Gia cầm</t>
  </si>
  <si>
    <t>Vắcxin cúm gia cầm</t>
  </si>
  <si>
    <t>372/BC-UBND ngày 04/11/2020</t>
  </si>
  <si>
    <t>249/BC-UBND ngày 4/11/2020</t>
  </si>
  <si>
    <r>
      <t xml:space="preserve">Phụ lục 1
TỔNG HỢP ĐỀ XUẤT HỖ TRỢ KINH PHÍ KHẮC PHỤC HẬU QUẢ DO  BÃO VÀ MƯA LŨ TRONG THÁNG 10 NĂM 2020
</t>
    </r>
    <r>
      <rPr>
        <i/>
        <sz val="16"/>
        <rFont val="Times New Roman"/>
        <family val="1"/>
      </rPr>
      <t>(Kèm theo        Tờ trình số       /TTr-TWPCTT của Ban Chỉ đạo Trung ương về phòng chống thiên tai ngày       tháng 11 năm 2020)</t>
    </r>
    <r>
      <rPr>
        <b/>
        <sz val="16"/>
        <rFont val="Times New Roman"/>
        <family val="1"/>
      </rPr>
      <t xml:space="preserve">
</t>
    </r>
  </si>
  <si>
    <t>6492/UBND-KTN ngày 04/11/2020</t>
  </si>
  <si>
    <t>Vắcxin lợn tai xanh</t>
  </si>
  <si>
    <t>Cơ số thuốc</t>
  </si>
  <si>
    <t>Cơ số</t>
  </si>
  <si>
    <t>Clorite</t>
  </si>
  <si>
    <t>Chlorine 65%min</t>
  </si>
  <si>
    <t>Đề xuất hỗ trợ bổ sung của địa phương</t>
  </si>
  <si>
    <t>Đề xuất tiếp tục hỗ trợ 
của địa phương</t>
  </si>
  <si>
    <t>(cơ số)</t>
  </si>
  <si>
    <t>Kinh phí tính toán</t>
  </si>
  <si>
    <t>50% kinh phí tính toán</t>
  </si>
  <si>
    <t>Đề xuất của các tỉnh</t>
  </si>
  <si>
    <t>Đề xuất của BCĐ</t>
  </si>
  <si>
    <t>Ghi chú</t>
  </si>
  <si>
    <t>Số lượng</t>
  </si>
  <si>
    <t>Đơn giá</t>
  </si>
  <si>
    <t>(tr.đồng/nhà)</t>
  </si>
  <si>
    <t>Không đề xuất hỗ trợ</t>
  </si>
  <si>
    <t>Đề xuất chung</t>
  </si>
  <si>
    <t>Đề xuất hỗ trợ chung</t>
  </si>
  <si>
    <t>Lấy mức tối đa theo tỉnh Q.Bình</t>
  </si>
  <si>
    <t>Nhà sập, đổ, trôi, thiệt hại hoàn toàn</t>
  </si>
  <si>
    <t>Số lượng tổng</t>
  </si>
  <si>
    <t>Nhà hư hại một phần 30-70%</t>
  </si>
  <si>
    <t>50% số nhà</t>
  </si>
  <si>
    <t>Đã hỗ trợ (QĐ1640 ngày 23/10)</t>
  </si>
  <si>
    <t>264/BC-UBND ngày 05/11/2020</t>
  </si>
  <si>
    <r>
      <t xml:space="preserve">Phụ lục 4
TỔNG HỢP TRUNG ƯƠNG ĐÃ HỖ TRỢ HÓA CHẤT TRỢ KHẮC PHỤC HẬU QUẢ 
DO BÃO VÀ MƯA LŨ TRONG THÁNG 10 NĂM 2020
</t>
    </r>
    <r>
      <rPr>
        <i/>
        <sz val="14"/>
        <rFont val="Times New Roman"/>
        <family val="1"/>
      </rPr>
      <t>(Kèm theo Tờ trình số 175/TTr-TWPCTT ngày 05/11/2020 của Ban Chỉ đạo Trung ương về phòng chống thiên tai)</t>
    </r>
    <r>
      <rPr>
        <b/>
        <sz val="14"/>
        <rFont val="Times New Roman"/>
        <family val="1"/>
      </rPr>
      <t xml:space="preserve">
</t>
    </r>
  </si>
  <si>
    <r>
      <t xml:space="preserve">Phụ lục 1
TỔNG HỢP ĐỀ XUẤT HỖ TRỢ KINH PHÍ KHẮC PHỤC HẬU QUẢ DO  BÃO VÀ MƯA LŨ TRONG THÁNG 10 NĂM 2020
</t>
    </r>
    <r>
      <rPr>
        <i/>
        <sz val="16"/>
        <rFont val="Times New Roman"/>
        <family val="1"/>
      </rPr>
      <t>(Cập nhật ngày 15/11/2020)</t>
    </r>
    <r>
      <rPr>
        <b/>
        <sz val="16"/>
        <rFont val="Times New Roman"/>
        <family val="1"/>
      </rPr>
      <t xml:space="preserve">
</t>
    </r>
  </si>
  <si>
    <t>Thủy lợi, Đê điều</t>
  </si>
  <si>
    <t>5058/TTr-UBND ngày 5/11/2020 và 254/BC-UBND ngày 11/11/2020</t>
  </si>
  <si>
    <t>404/TTr-UBND ngày 06/11/2020</t>
  </si>
  <si>
    <t>197/BC-UBND ngày 06/11/2020</t>
  </si>
  <si>
    <t>334/BC-UBND ngày 07/11/2020</t>
  </si>
  <si>
    <t>Giao thông</t>
  </si>
  <si>
    <t>2273/TTr-UBND ngày 06/11/2020</t>
  </si>
  <si>
    <t>647/BC-UBND ngày 4/11/2020</t>
  </si>
  <si>
    <t>103/TTr-UBND ngày 4/11/2020</t>
  </si>
  <si>
    <t xml:space="preserve">Phụ lục 2
TỔNG HỢP ĐỀ XUẤT HỖ TRỢ GẠO KHẮC PHỤC HẬU QUẢ HẬU QUẢ DO  BÃO 
VÀ MƯA LŨ TRONG THÁNG 10 NĂM 2020
</t>
  </si>
  <si>
    <t xml:space="preserve">Phụ lục 3
TỔNG HỢP ĐỀ XUẤT HỖ TRỢ GIỐNG TRỢ KHẮC PHỤC HẬU QUẢ DO 
 BÃO VÀ MƯA LŨ TRONG THÁNG 10 NĂM 2020
</t>
  </si>
  <si>
    <r>
      <t xml:space="preserve">Phụ lục 5
TỔNG HỢP ĐỀ XUẤT TIÊP TỤC HỖ TRỢ HÓA CHẤT TRỢ KHẮC PHỤC HẬU QUẢ DO BÃO VÀ MƯA LŨ TRONG THÁNG 10 NĂM 2020
</t>
    </r>
    <r>
      <rPr>
        <b/>
        <sz val="14"/>
        <rFont val="Times New Roman"/>
        <family val="1"/>
      </rPr>
      <t xml:space="preserve">
</t>
    </r>
  </si>
  <si>
    <t>345/BC-UBND ngày 11/11/2020</t>
  </si>
  <si>
    <t>Ghi chú: Tổng số nhà bị thiệt hại dưới 30% là 179.217 nhà; Các hộ gia đình chủ động khắc phục, sửa chữa nhà ở bị thiệt hại.</t>
  </si>
  <si>
    <r>
      <t xml:space="preserve">Phụ lục 6
TỔNG HỢP ĐỀ XUẤT KINH PHÍ HỖ TRỢ NHÀ Ở KHẮC PHỤC HẬU QUẢ DO BÃO
 VÀ MƯA LŨ TRONG THÁNG 10 NĂM 2020
</t>
    </r>
    <r>
      <rPr>
        <b/>
        <sz val="14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</si>
</sst>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#,##0.000"/>
    <numFmt numFmtId="181" formatCode="#,##0.0"/>
    <numFmt numFmtId="182" formatCode="mmm\-yyyy"/>
    <numFmt numFmtId="183" formatCode="[$-409]h:mm:ss\ AM/PM"/>
    <numFmt numFmtId="184" formatCode="[$-409]dddd\,\ mmmm\ dd\,\ yyyy"/>
    <numFmt numFmtId="185" formatCode="#.##0"/>
    <numFmt numFmtId="186" formatCode="#\ ###\ ###"/>
    <numFmt numFmtId="187" formatCode="#.###"/>
    <numFmt numFmtId="188" formatCode="#.###.###"/>
    <numFmt numFmtId="189" formatCode="#\ ###"/>
    <numFmt numFmtId="190" formatCode="###\ ###\ ###"/>
    <numFmt numFmtId="191" formatCode="###\ ###\ ###.000"/>
    <numFmt numFmtId="192" formatCode="0.0"/>
    <numFmt numFmtId="193" formatCode="mm/dd/yy;@"/>
    <numFmt numFmtId="194" formatCode="m/d/yy;@"/>
    <numFmt numFmtId="195" formatCode="m/d;@"/>
    <numFmt numFmtId="196" formatCode="#,##0.0000"/>
    <numFmt numFmtId="197" formatCode="#,##0.00000"/>
    <numFmt numFmtId="198" formatCode="_(* #,##0.0_);_(* \(#,##0.0\);_(* &quot;-&quot;??_);_(@_)"/>
    <numFmt numFmtId="199" formatCode="_(* #,##0_);_(* \(#,##0\);_(* &quot;-&quot;??_);_(@_)"/>
    <numFmt numFmtId="200" formatCode="0.0000E+00"/>
    <numFmt numFmtId="201" formatCode="#\ ###\ ###.000"/>
    <numFmt numFmtId="202" formatCode="##\ ###\ ###.000"/>
    <numFmt numFmtId="203" formatCode="###\ ###\ ###.0"/>
    <numFmt numFmtId="204" formatCode="###\ ###\ ###.00"/>
    <numFmt numFmtId="205" formatCode="#,##0.0_);\(#,##0.0\)"/>
    <numFmt numFmtId="206" formatCode="_(* #,##0.0_);_(* \(#,##0.0\);_(* &quot;-&quot;?_);_(@_)"/>
    <numFmt numFmtId="207" formatCode="_-* #,##0\ _₫_-;\-* #,##0\ _₫_-;_-* &quot;-&quot;??\ _₫_-;_-@_-"/>
    <numFmt numFmtId="208" formatCode="0.000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  <numFmt numFmtId="213" formatCode="_(* #,##0.0_);_(* \(#,##0.0\);_(* &quot;-&quot;_);_(@_)"/>
    <numFmt numFmtId="214" formatCode="_(* #,##0.000_);_(* \(#,##0.000\);_(* &quot;-&quot;??_);_(@_)"/>
    <numFmt numFmtId="215" formatCode="_(* #,##0.0000_);_(* \(#,##0.0000\);_(* &quot;-&quot;??_);_(@_)"/>
    <numFmt numFmtId="216" formatCode="_(* #,##0.00000_);_(* \(#,##0.00000\);_(* &quot;-&quot;??_);_(@_)"/>
    <numFmt numFmtId="217" formatCode="_(* #,##0.000000_);_(* \(#,##0.000000\);_(* &quot;-&quot;??_);_(@_)"/>
  </numFmts>
  <fonts count="58">
    <font>
      <sz val="10"/>
      <name val=".VnTime"/>
      <family val="0"/>
    </font>
    <font>
      <u val="single"/>
      <sz val="10"/>
      <color indexed="12"/>
      <name val=".VnTime"/>
      <family val="2"/>
    </font>
    <font>
      <u val="single"/>
      <sz val="10"/>
      <color indexed="36"/>
      <name val=".VnTime"/>
      <family val="2"/>
    </font>
    <font>
      <sz val="8"/>
      <name val=".VnTime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3"/>
      <name val="Times New Roman"/>
      <family val="1"/>
    </font>
    <font>
      <sz val="10"/>
      <name val="Arial"/>
      <family val="2"/>
    </font>
    <font>
      <i/>
      <sz val="13"/>
      <name val="Times New Roman"/>
      <family val="1"/>
    </font>
    <font>
      <i/>
      <sz val="12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6"/>
      <name val="Times New Roman"/>
      <family val="1"/>
    </font>
    <font>
      <i/>
      <sz val="16"/>
      <name val="Times New Roman"/>
      <family val="1"/>
    </font>
    <font>
      <i/>
      <sz val="14"/>
      <name val="Times New Roman"/>
      <family val="1"/>
    </font>
    <font>
      <b/>
      <u val="single"/>
      <sz val="13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3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3"/>
      <color rgb="FFFF0000"/>
      <name val="Times New Roman"/>
      <family val="1"/>
    </font>
    <font>
      <b/>
      <sz val="8"/>
      <name val=".VnTim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/>
    </xf>
    <xf numFmtId="192" fontId="6" fillId="0" borderId="10" xfId="42" applyNumberFormat="1" applyFont="1" applyFill="1" applyBorder="1" applyAlignment="1">
      <alignment vertical="center" wrapText="1"/>
    </xf>
    <xf numFmtId="41" fontId="6" fillId="0" borderId="10" xfId="42" applyNumberFormat="1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/>
    </xf>
    <xf numFmtId="192" fontId="6" fillId="33" borderId="10" xfId="0" applyNumberFormat="1" applyFont="1" applyFill="1" applyBorder="1" applyAlignment="1">
      <alignment horizontal="right" vertical="center"/>
    </xf>
    <xf numFmtId="192" fontId="8" fillId="33" borderId="11" xfId="0" applyNumberFormat="1" applyFont="1" applyFill="1" applyBorder="1" applyAlignment="1">
      <alignment horizontal="right" vertical="center"/>
    </xf>
    <xf numFmtId="0" fontId="11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181" fontId="6" fillId="33" borderId="10" xfId="0" applyNumberFormat="1" applyFont="1" applyFill="1" applyBorder="1" applyAlignment="1">
      <alignment vertical="center"/>
    </xf>
    <xf numFmtId="3" fontId="6" fillId="33" borderId="1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horizontal="center" vertical="center" wrapText="1"/>
    </xf>
    <xf numFmtId="3" fontId="8" fillId="33" borderId="10" xfId="0" applyNumberFormat="1" applyFont="1" applyFill="1" applyBorder="1" applyAlignment="1">
      <alignment vertical="center"/>
    </xf>
    <xf numFmtId="3" fontId="8" fillId="33" borderId="11" xfId="0" applyNumberFormat="1" applyFont="1" applyFill="1" applyBorder="1" applyAlignment="1">
      <alignment horizontal="right" vertical="center"/>
    </xf>
    <xf numFmtId="3" fontId="6" fillId="33" borderId="10" xfId="0" applyNumberFormat="1" applyFont="1" applyFill="1" applyBorder="1" applyAlignment="1">
      <alignment horizontal="right" vertical="center"/>
    </xf>
    <xf numFmtId="181" fontId="6" fillId="33" borderId="10" xfId="0" applyNumberFormat="1" applyFont="1" applyFill="1" applyBorder="1" applyAlignment="1">
      <alignment horizontal="right" vertical="center"/>
    </xf>
    <xf numFmtId="3" fontId="6" fillId="0" borderId="10" xfId="42" applyNumberFormat="1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4" fontId="6" fillId="0" borderId="10" xfId="42" applyNumberFormat="1" applyFont="1" applyFill="1" applyBorder="1" applyAlignment="1">
      <alignment vertical="center" wrapText="1"/>
    </xf>
    <xf numFmtId="3" fontId="8" fillId="0" borderId="11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181" fontId="8" fillId="33" borderId="11" xfId="0" applyNumberFormat="1" applyFont="1" applyFill="1" applyBorder="1" applyAlignment="1">
      <alignment horizontal="right" vertical="center"/>
    </xf>
    <xf numFmtId="181" fontId="6" fillId="0" borderId="10" xfId="42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right" vertical="center"/>
    </xf>
    <xf numFmtId="3" fontId="6" fillId="0" borderId="10" xfId="0" applyNumberFormat="1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55" fillId="33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8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right" vertical="center" wrapText="1"/>
    </xf>
    <xf numFmtId="3" fontId="8" fillId="0" borderId="10" xfId="0" applyNumberFormat="1" applyFont="1" applyBorder="1" applyAlignment="1">
      <alignment horizontal="right" vertical="center"/>
    </xf>
    <xf numFmtId="4" fontId="8" fillId="0" borderId="10" xfId="0" applyNumberFormat="1" applyFont="1" applyBorder="1" applyAlignment="1">
      <alignment horizontal="right" vertical="center"/>
    </xf>
    <xf numFmtId="4" fontId="17" fillId="0" borderId="10" xfId="0" applyNumberFormat="1" applyFont="1" applyBorder="1" applyAlignment="1">
      <alignment horizontal="right" vertical="center"/>
    </xf>
    <xf numFmtId="3" fontId="8" fillId="0" borderId="11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3" fontId="6" fillId="0" borderId="10" xfId="0" applyNumberFormat="1" applyFont="1" applyBorder="1" applyAlignment="1">
      <alignment horizontal="right" vertical="center"/>
    </xf>
    <xf numFmtId="180" fontId="6" fillId="0" borderId="10" xfId="0" applyNumberFormat="1" applyFont="1" applyBorder="1" applyAlignment="1">
      <alignment horizontal="right" vertical="center"/>
    </xf>
    <xf numFmtId="4" fontId="6" fillId="0" borderId="10" xfId="0" applyNumberFormat="1" applyFont="1" applyBorder="1" applyAlignment="1">
      <alignment horizontal="right" vertical="center"/>
    </xf>
    <xf numFmtId="4" fontId="8" fillId="0" borderId="10" xfId="0" applyNumberFormat="1" applyFont="1" applyBorder="1" applyAlignment="1">
      <alignment horizontal="right" vertical="center"/>
    </xf>
    <xf numFmtId="4" fontId="6" fillId="0" borderId="11" xfId="42" applyNumberFormat="1" applyFont="1" applyFill="1" applyBorder="1" applyAlignment="1">
      <alignment vertical="center" wrapText="1"/>
    </xf>
    <xf numFmtId="4" fontId="6" fillId="0" borderId="10" xfId="42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/>
    </xf>
    <xf numFmtId="0" fontId="6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left" vertical="center"/>
    </xf>
    <xf numFmtId="0" fontId="6" fillId="34" borderId="10" xfId="0" applyFont="1" applyFill="1" applyBorder="1" applyAlignment="1">
      <alignment horizontal="center" vertical="center" wrapText="1"/>
    </xf>
    <xf numFmtId="3" fontId="6" fillId="34" borderId="10" xfId="0" applyNumberFormat="1" applyFont="1" applyFill="1" applyBorder="1" applyAlignment="1">
      <alignment vertical="center"/>
    </xf>
    <xf numFmtId="0" fontId="6" fillId="34" borderId="10" xfId="0" applyFont="1" applyFill="1" applyBorder="1" applyAlignment="1">
      <alignment horizontal="left" vertical="center" wrapText="1"/>
    </xf>
    <xf numFmtId="181" fontId="6" fillId="34" borderId="10" xfId="0" applyNumberFormat="1" applyFont="1" applyFill="1" applyBorder="1" applyAlignment="1">
      <alignment horizontal="right" vertical="center"/>
    </xf>
    <xf numFmtId="3" fontId="6" fillId="34" borderId="10" xfId="0" applyNumberFormat="1" applyFont="1" applyFill="1" applyBorder="1" applyAlignment="1">
      <alignment horizontal="right" vertical="center"/>
    </xf>
    <xf numFmtId="181" fontId="6" fillId="34" borderId="10" xfId="42" applyNumberFormat="1" applyFont="1" applyFill="1" applyBorder="1" applyAlignment="1">
      <alignment vertical="center" wrapText="1"/>
    </xf>
    <xf numFmtId="181" fontId="6" fillId="34" borderId="10" xfId="42" applyNumberFormat="1" applyFont="1" applyFill="1" applyBorder="1" applyAlignment="1">
      <alignment horizontal="center" vertical="center" wrapText="1"/>
    </xf>
    <xf numFmtId="3" fontId="6" fillId="34" borderId="10" xfId="42" applyNumberFormat="1" applyFont="1" applyFill="1" applyBorder="1" applyAlignment="1">
      <alignment vertical="center" wrapText="1"/>
    </xf>
    <xf numFmtId="3" fontId="6" fillId="34" borderId="10" xfId="42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3" fontId="8" fillId="33" borderId="10" xfId="0" applyNumberFormat="1" applyFont="1" applyFill="1" applyBorder="1" applyAlignment="1">
      <alignment horizontal="right" vertical="center"/>
    </xf>
    <xf numFmtId="0" fontId="10" fillId="33" borderId="11" xfId="0" applyFont="1" applyFill="1" applyBorder="1" applyAlignment="1">
      <alignment horizontal="center" vertical="center" wrapText="1"/>
    </xf>
    <xf numFmtId="3" fontId="6" fillId="33" borderId="11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/>
    </xf>
    <xf numFmtId="3" fontId="56" fillId="33" borderId="10" xfId="0" applyNumberFormat="1" applyFont="1" applyFill="1" applyBorder="1" applyAlignment="1">
      <alignment horizontal="right" vertical="center"/>
    </xf>
    <xf numFmtId="0" fontId="56" fillId="33" borderId="10" xfId="0" applyFont="1" applyFill="1" applyBorder="1" applyAlignment="1">
      <alignment horizontal="center" vertical="center"/>
    </xf>
    <xf numFmtId="0" fontId="56" fillId="33" borderId="10" xfId="0" applyFont="1" applyFill="1" applyBorder="1" applyAlignment="1">
      <alignment horizontal="left" vertical="center"/>
    </xf>
    <xf numFmtId="0" fontId="56" fillId="33" borderId="10" xfId="0" applyFont="1" applyFill="1" applyBorder="1" applyAlignment="1">
      <alignment horizontal="left" vertical="center" wrapText="1"/>
    </xf>
    <xf numFmtId="3" fontId="56" fillId="0" borderId="10" xfId="42" applyNumberFormat="1" applyFont="1" applyFill="1" applyBorder="1" applyAlignment="1">
      <alignment vertical="center" wrapText="1"/>
    </xf>
    <xf numFmtId="0" fontId="56" fillId="33" borderId="0" xfId="0" applyFont="1" applyFill="1" applyAlignment="1">
      <alignment/>
    </xf>
    <xf numFmtId="3" fontId="6" fillId="0" borderId="11" xfId="0" applyNumberFormat="1" applyFont="1" applyFill="1" applyBorder="1" applyAlignment="1">
      <alignment horizontal="right" vertical="center"/>
    </xf>
    <xf numFmtId="0" fontId="8" fillId="33" borderId="10" xfId="0" applyFont="1" applyFill="1" applyBorder="1" applyAlignment="1">
      <alignment horizontal="center" vertical="center" wrapText="1"/>
    </xf>
    <xf numFmtId="0" fontId="14" fillId="33" borderId="12" xfId="0" applyFont="1" applyFill="1" applyBorder="1" applyAlignment="1">
      <alignment horizontal="center" vertical="top" wrapText="1"/>
    </xf>
    <xf numFmtId="0" fontId="14" fillId="33" borderId="14" xfId="0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14" fillId="33" borderId="16" xfId="0" applyFont="1" applyFill="1" applyBorder="1" applyAlignment="1">
      <alignment horizontal="center" vertical="top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top" wrapText="1"/>
    </xf>
    <xf numFmtId="0" fontId="8" fillId="33" borderId="19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top" wrapText="1"/>
    </xf>
    <xf numFmtId="0" fontId="55" fillId="33" borderId="15" xfId="0" applyFont="1" applyFill="1" applyBorder="1" applyAlignment="1">
      <alignment horizontal="center" vertical="center" wrapText="1"/>
    </xf>
    <xf numFmtId="0" fontId="55" fillId="33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1.%20T.Hop%20de%20xuat%20ho%20tro%20-%2019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.Phi"/>
      <sheetName val="Gao"/>
      <sheetName val="Giong-2020"/>
      <sheetName val="HC. TW"/>
      <sheetName val="HC.DP"/>
      <sheetName val="Sheet1"/>
      <sheetName val="Nha"/>
      <sheetName val="D.sinh"/>
      <sheetName val="Tong hop"/>
    </sheetNames>
    <sheetDataSet>
      <sheetData sheetId="0">
        <row r="7">
          <cell r="C7" t="str">
            <v>7584/UBND-NN ngày 31/10/2020</v>
          </cell>
        </row>
        <row r="8">
          <cell r="C8" t="str">
            <v>394/BC-UBND ngày 29/10/2020</v>
          </cell>
        </row>
        <row r="10">
          <cell r="C10" t="str">
            <v>249/BC-UBND ngày 4/11/2020</v>
          </cell>
        </row>
        <row r="11">
          <cell r="C11" t="str">
            <v>372/BC-UBND ngày 04/11/2020</v>
          </cell>
        </row>
        <row r="12">
          <cell r="C12" t="str">
            <v>6492/UBND-KTN ngày 04/11/2020</v>
          </cell>
        </row>
        <row r="13">
          <cell r="C13" t="str">
            <v>215/BC-UBND ngày 04/11/2020</v>
          </cell>
        </row>
        <row r="15">
          <cell r="C15" t="str">
            <v>230/BC-UBND ngày 1/11/2020</v>
          </cell>
        </row>
        <row r="17">
          <cell r="C17" t="str">
            <v>2224/TTr-UBND ngày 30/10/2020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9"/>
  <sheetViews>
    <sheetView zoomScale="70" zoomScaleNormal="70" zoomScalePageLayoutView="0" workbookViewId="0" topLeftCell="A1">
      <pane xSplit="3" ySplit="6" topLeftCell="D28" activePane="bottomRight" state="frozen"/>
      <selection pane="topLeft" activeCell="A1" sqref="A1"/>
      <selection pane="topRight" activeCell="D1" sqref="D1"/>
      <selection pane="bottomLeft" activeCell="A7" sqref="A7"/>
      <selection pane="bottomRight" activeCell="R8" sqref="R8"/>
    </sheetView>
  </sheetViews>
  <sheetFormatPr defaultColWidth="9.00390625" defaultRowHeight="12.75"/>
  <cols>
    <col min="1" max="1" width="7.25390625" style="2" customWidth="1"/>
    <col min="2" max="2" width="20.625" style="2" customWidth="1"/>
    <col min="3" max="3" width="22.125" style="67" customWidth="1"/>
    <col min="4" max="4" width="11.375" style="2" customWidth="1"/>
    <col min="5" max="5" width="12.375" style="2" customWidth="1"/>
    <col min="6" max="7" width="14.625" style="2" customWidth="1"/>
    <col min="8" max="8" width="11.75390625" style="2" customWidth="1"/>
    <col min="9" max="9" width="11.00390625" style="2" customWidth="1"/>
    <col min="10" max="10" width="12.375" style="2" customWidth="1"/>
    <col min="11" max="11" width="12.125" style="2" customWidth="1"/>
    <col min="12" max="12" width="10.875" style="2" customWidth="1"/>
    <col min="13" max="13" width="11.125" style="2" customWidth="1"/>
    <col min="14" max="14" width="10.625" style="2" customWidth="1"/>
    <col min="15" max="16" width="12.375" style="2" customWidth="1"/>
    <col min="17" max="16384" width="9.125" style="2" customWidth="1"/>
  </cols>
  <sheetData>
    <row r="1" ht="16.5"/>
    <row r="2" spans="1:15" ht="76.5" customHeight="1">
      <c r="A2" s="94" t="s">
        <v>109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</row>
    <row r="3" spans="1:16" ht="26.25" customHeight="1">
      <c r="A3" s="96" t="s">
        <v>2</v>
      </c>
      <c r="B3" s="93" t="s">
        <v>21</v>
      </c>
      <c r="C3" s="93" t="s">
        <v>45</v>
      </c>
      <c r="D3" s="93" t="s">
        <v>53</v>
      </c>
      <c r="E3" s="93"/>
      <c r="F3" s="93"/>
      <c r="G3" s="93"/>
      <c r="H3" s="93"/>
      <c r="I3" s="93"/>
      <c r="J3" s="93"/>
      <c r="K3" s="93"/>
      <c r="L3" s="93"/>
      <c r="M3" s="93"/>
      <c r="N3" s="93"/>
      <c r="O3" s="93" t="s">
        <v>106</v>
      </c>
      <c r="P3" s="93" t="s">
        <v>51</v>
      </c>
    </row>
    <row r="4" spans="1:16" ht="35.25" customHeight="1">
      <c r="A4" s="96"/>
      <c r="B4" s="93"/>
      <c r="C4" s="93"/>
      <c r="D4" s="84" t="s">
        <v>10</v>
      </c>
      <c r="E4" s="84" t="s">
        <v>39</v>
      </c>
      <c r="F4" s="84" t="s">
        <v>115</v>
      </c>
      <c r="G4" s="84" t="s">
        <v>110</v>
      </c>
      <c r="H4" s="84" t="s">
        <v>54</v>
      </c>
      <c r="I4" s="84" t="s">
        <v>40</v>
      </c>
      <c r="J4" s="84" t="s">
        <v>49</v>
      </c>
      <c r="K4" s="84" t="s">
        <v>50</v>
      </c>
      <c r="L4" s="84" t="s">
        <v>67</v>
      </c>
      <c r="M4" s="84" t="s">
        <v>70</v>
      </c>
      <c r="N4" s="84" t="s">
        <v>55</v>
      </c>
      <c r="O4" s="93"/>
      <c r="P4" s="93"/>
    </row>
    <row r="5" spans="1:16" ht="24" customHeight="1">
      <c r="A5" s="96"/>
      <c r="B5" s="93"/>
      <c r="C5" s="93"/>
      <c r="D5" s="6" t="s">
        <v>13</v>
      </c>
      <c r="E5" s="6" t="s">
        <v>13</v>
      </c>
      <c r="F5" s="6" t="s">
        <v>13</v>
      </c>
      <c r="G5" s="6" t="s">
        <v>13</v>
      </c>
      <c r="H5" s="6" t="s">
        <v>13</v>
      </c>
      <c r="I5" s="6" t="s">
        <v>13</v>
      </c>
      <c r="J5" s="6" t="s">
        <v>13</v>
      </c>
      <c r="K5" s="6" t="s">
        <v>13</v>
      </c>
      <c r="L5" s="6" t="s">
        <v>13</v>
      </c>
      <c r="M5" s="6" t="s">
        <v>13</v>
      </c>
      <c r="N5" s="6" t="s">
        <v>13</v>
      </c>
      <c r="O5" s="6" t="s">
        <v>13</v>
      </c>
      <c r="P5" s="81" t="s">
        <v>13</v>
      </c>
    </row>
    <row r="6" spans="1:16" ht="24" customHeight="1">
      <c r="A6" s="96" t="s">
        <v>10</v>
      </c>
      <c r="B6" s="96"/>
      <c r="C6" s="83"/>
      <c r="D6" s="80">
        <f>SUM(D7:D19)</f>
        <v>8710.211</v>
      </c>
      <c r="E6" s="80">
        <f aca="true" t="shared" si="0" ref="E6:N6">SUM(E7:E19)</f>
        <v>1289.4710000000002</v>
      </c>
      <c r="F6" s="80">
        <f t="shared" si="0"/>
        <v>2628.63</v>
      </c>
      <c r="G6" s="80">
        <f t="shared" si="0"/>
        <v>2287.4500000000003</v>
      </c>
      <c r="H6" s="80">
        <f t="shared" si="0"/>
        <v>253.7</v>
      </c>
      <c r="I6" s="80">
        <f t="shared" si="0"/>
        <v>120</v>
      </c>
      <c r="J6" s="80">
        <f t="shared" si="0"/>
        <v>910</v>
      </c>
      <c r="K6" s="80">
        <f t="shared" si="0"/>
        <v>1132.96</v>
      </c>
      <c r="L6" s="80">
        <f t="shared" si="0"/>
        <v>0</v>
      </c>
      <c r="M6" s="80">
        <f t="shared" si="0"/>
        <v>8</v>
      </c>
      <c r="N6" s="80">
        <f t="shared" si="0"/>
        <v>80</v>
      </c>
      <c r="O6" s="80">
        <f>SUM(O7:O15)</f>
        <v>500</v>
      </c>
      <c r="P6" s="21">
        <f>SUM(P7:P19)</f>
        <v>4000</v>
      </c>
    </row>
    <row r="7" spans="1:16" ht="34.5" customHeight="1">
      <c r="A7" s="8">
        <v>1</v>
      </c>
      <c r="B7" s="9" t="s">
        <v>7</v>
      </c>
      <c r="C7" s="66" t="s">
        <v>66</v>
      </c>
      <c r="D7" s="22">
        <f aca="true" t="shared" si="1" ref="D7:D19">SUM(E7:N7)</f>
        <v>100</v>
      </c>
      <c r="E7" s="22">
        <v>100</v>
      </c>
      <c r="F7" s="22"/>
      <c r="G7" s="22"/>
      <c r="H7" s="22"/>
      <c r="I7" s="22"/>
      <c r="J7" s="22"/>
      <c r="K7" s="22"/>
      <c r="L7" s="22"/>
      <c r="M7" s="22"/>
      <c r="N7" s="18"/>
      <c r="O7" s="18"/>
      <c r="P7" s="82"/>
    </row>
    <row r="8" spans="1:16" ht="34.5" customHeight="1">
      <c r="A8" s="8">
        <v>2</v>
      </c>
      <c r="B8" s="9" t="s">
        <v>8</v>
      </c>
      <c r="C8" s="66" t="s">
        <v>112</v>
      </c>
      <c r="D8" s="22">
        <f>SUM(E8:N8)</f>
        <v>1418</v>
      </c>
      <c r="E8" s="22"/>
      <c r="F8" s="22">
        <v>368</v>
      </c>
      <c r="G8" s="22">
        <v>550</v>
      </c>
      <c r="H8" s="22">
        <f>50</f>
        <v>50</v>
      </c>
      <c r="I8" s="22"/>
      <c r="J8" s="22">
        <f>450</f>
        <v>450</v>
      </c>
      <c r="K8" s="22"/>
      <c r="L8" s="22"/>
      <c r="M8" s="22"/>
      <c r="N8" s="18"/>
      <c r="O8" s="18">
        <v>100</v>
      </c>
      <c r="P8" s="82">
        <f>1800-450</f>
        <v>1350</v>
      </c>
    </row>
    <row r="9" spans="1:16" ht="34.5" customHeight="1">
      <c r="A9" s="8">
        <v>3</v>
      </c>
      <c r="B9" s="9" t="s">
        <v>11</v>
      </c>
      <c r="C9" s="66" t="s">
        <v>107</v>
      </c>
      <c r="D9" s="22">
        <f t="shared" si="1"/>
        <v>446</v>
      </c>
      <c r="E9" s="22">
        <f>50+6</f>
        <v>56</v>
      </c>
      <c r="F9" s="22">
        <v>100</v>
      </c>
      <c r="G9" s="22">
        <v>200</v>
      </c>
      <c r="H9" s="22">
        <f>90</f>
        <v>90</v>
      </c>
      <c r="I9" s="22"/>
      <c r="J9" s="22"/>
      <c r="K9" s="22"/>
      <c r="L9" s="22"/>
      <c r="M9" s="22"/>
      <c r="N9" s="18"/>
      <c r="O9" s="18">
        <v>100</v>
      </c>
      <c r="P9" s="82">
        <f>2000</f>
        <v>2000</v>
      </c>
    </row>
    <row r="10" spans="1:16" s="36" customFormat="1" ht="66">
      <c r="A10" s="33">
        <v>4</v>
      </c>
      <c r="B10" s="27" t="s">
        <v>1</v>
      </c>
      <c r="C10" s="66" t="s">
        <v>111</v>
      </c>
      <c r="D10" s="34">
        <f>SUM(E10:N10)</f>
        <v>1600</v>
      </c>
      <c r="E10" s="34">
        <v>100</v>
      </c>
      <c r="F10" s="34">
        <v>575</v>
      </c>
      <c r="G10" s="34">
        <f>184+89</f>
        <v>273</v>
      </c>
      <c r="H10" s="34">
        <f>90+12</f>
        <v>102</v>
      </c>
      <c r="I10" s="34">
        <f>100</f>
        <v>100</v>
      </c>
      <c r="J10" s="34">
        <v>150</v>
      </c>
      <c r="K10" s="34">
        <v>220</v>
      </c>
      <c r="L10" s="34"/>
      <c r="M10" s="34"/>
      <c r="N10" s="35">
        <v>80</v>
      </c>
      <c r="O10" s="35">
        <v>100</v>
      </c>
      <c r="P10" s="92"/>
    </row>
    <row r="11" spans="1:16" ht="34.5" customHeight="1">
      <c r="A11" s="8">
        <v>5</v>
      </c>
      <c r="B11" s="9" t="s">
        <v>19</v>
      </c>
      <c r="C11" s="66" t="s">
        <v>78</v>
      </c>
      <c r="D11" s="22">
        <f t="shared" si="1"/>
        <v>1005</v>
      </c>
      <c r="E11" s="22">
        <v>300</v>
      </c>
      <c r="F11" s="22">
        <v>220</v>
      </c>
      <c r="G11" s="22">
        <v>155</v>
      </c>
      <c r="H11" s="23"/>
      <c r="I11" s="22"/>
      <c r="J11" s="22"/>
      <c r="K11" s="23">
        <f>300+30</f>
        <v>330</v>
      </c>
      <c r="L11" s="23"/>
      <c r="M11" s="23"/>
      <c r="N11" s="17"/>
      <c r="O11" s="17">
        <v>100</v>
      </c>
      <c r="P11" s="82"/>
    </row>
    <row r="12" spans="1:16" ht="34.5" customHeight="1">
      <c r="A12" s="8">
        <v>6</v>
      </c>
      <c r="B12" s="9" t="s">
        <v>3</v>
      </c>
      <c r="C12" s="3" t="s">
        <v>81</v>
      </c>
      <c r="D12" s="22">
        <f t="shared" si="1"/>
        <v>1500</v>
      </c>
      <c r="E12" s="22"/>
      <c r="F12" s="22">
        <v>840</v>
      </c>
      <c r="G12" s="22">
        <v>660</v>
      </c>
      <c r="H12" s="22"/>
      <c r="I12" s="22"/>
      <c r="J12" s="22"/>
      <c r="K12" s="22"/>
      <c r="L12" s="22"/>
      <c r="M12" s="22"/>
      <c r="N12" s="18"/>
      <c r="O12" s="18">
        <v>100</v>
      </c>
      <c r="P12" s="82"/>
    </row>
    <row r="13" spans="1:16" ht="34.5" customHeight="1">
      <c r="A13" s="8">
        <v>7</v>
      </c>
      <c r="B13" s="9" t="s">
        <v>0</v>
      </c>
      <c r="C13" s="66" t="s">
        <v>46</v>
      </c>
      <c r="D13" s="22">
        <f t="shared" si="1"/>
        <v>1625</v>
      </c>
      <c r="E13" s="22">
        <v>700</v>
      </c>
      <c r="F13" s="22">
        <v>200</v>
      </c>
      <c r="G13" s="22"/>
      <c r="H13" s="22"/>
      <c r="I13" s="22">
        <v>20</v>
      </c>
      <c r="J13" s="22">
        <v>310</v>
      </c>
      <c r="K13" s="22">
        <v>395</v>
      </c>
      <c r="L13" s="22"/>
      <c r="M13" s="22"/>
      <c r="N13" s="18"/>
      <c r="O13" s="18"/>
      <c r="P13" s="82">
        <v>650</v>
      </c>
    </row>
    <row r="14" spans="1:16" ht="34.5" customHeight="1">
      <c r="A14" s="8">
        <v>8</v>
      </c>
      <c r="B14" s="9" t="s">
        <v>4</v>
      </c>
      <c r="C14" s="66" t="s">
        <v>113</v>
      </c>
      <c r="D14" s="22">
        <f t="shared" si="1"/>
        <v>350</v>
      </c>
      <c r="E14" s="22"/>
      <c r="F14" s="22">
        <f>10+9</f>
        <v>19</v>
      </c>
      <c r="G14" s="22">
        <f>10+5+18+17+20+23+60</f>
        <v>153</v>
      </c>
      <c r="H14" s="22"/>
      <c r="I14" s="22"/>
      <c r="J14" s="22"/>
      <c r="K14" s="22">
        <f>50+58+36+24+10</f>
        <v>178</v>
      </c>
      <c r="L14" s="22"/>
      <c r="M14" s="22"/>
      <c r="N14" s="18"/>
      <c r="O14" s="18"/>
      <c r="P14" s="82"/>
    </row>
    <row r="15" spans="1:16" ht="34.5" customHeight="1">
      <c r="A15" s="8">
        <v>9</v>
      </c>
      <c r="B15" s="9" t="s">
        <v>14</v>
      </c>
      <c r="C15" s="66" t="s">
        <v>114</v>
      </c>
      <c r="D15" s="22">
        <f>SUM(E15:N15)</f>
        <v>332.34599999999995</v>
      </c>
      <c r="E15" s="22">
        <v>20.546</v>
      </c>
      <c r="F15" s="22">
        <v>252.63</v>
      </c>
      <c r="G15" s="22">
        <v>39.93</v>
      </c>
      <c r="H15" s="22">
        <v>5.78</v>
      </c>
      <c r="I15" s="22"/>
      <c r="J15" s="22"/>
      <c r="K15" s="22">
        <v>5.46</v>
      </c>
      <c r="L15" s="22"/>
      <c r="M15" s="22">
        <f>1+0.5+5+1+0.5</f>
        <v>8</v>
      </c>
      <c r="N15" s="18"/>
      <c r="O15" s="18"/>
      <c r="P15" s="82"/>
    </row>
    <row r="16" spans="1:16" ht="34.5" customHeight="1">
      <c r="A16" s="8">
        <v>10</v>
      </c>
      <c r="B16" s="9" t="s">
        <v>5</v>
      </c>
      <c r="C16" s="66" t="s">
        <v>68</v>
      </c>
      <c r="D16" s="22">
        <f t="shared" si="1"/>
        <v>0</v>
      </c>
      <c r="E16" s="22"/>
      <c r="F16" s="22"/>
      <c r="G16" s="22"/>
      <c r="H16" s="22"/>
      <c r="I16" s="22"/>
      <c r="J16" s="22"/>
      <c r="K16" s="22"/>
      <c r="L16" s="22"/>
      <c r="M16" s="22"/>
      <c r="N16" s="18"/>
      <c r="O16" s="18"/>
      <c r="P16" s="22"/>
    </row>
    <row r="17" spans="1:16" ht="34.5" customHeight="1">
      <c r="A17" s="8">
        <v>11</v>
      </c>
      <c r="B17" s="9" t="s">
        <v>6</v>
      </c>
      <c r="C17" s="66" t="s">
        <v>116</v>
      </c>
      <c r="D17" s="22">
        <f t="shared" si="1"/>
        <v>147.39</v>
      </c>
      <c r="E17" s="22">
        <v>2.39</v>
      </c>
      <c r="F17" s="22"/>
      <c r="G17" s="22">
        <v>145</v>
      </c>
      <c r="H17" s="22"/>
      <c r="I17" s="22"/>
      <c r="J17" s="22"/>
      <c r="K17" s="22"/>
      <c r="L17" s="22"/>
      <c r="M17" s="22"/>
      <c r="N17" s="18"/>
      <c r="O17" s="18"/>
      <c r="P17" s="22"/>
    </row>
    <row r="18" spans="1:16" ht="34.5" customHeight="1">
      <c r="A18" s="8">
        <v>12</v>
      </c>
      <c r="B18" s="9" t="s">
        <v>15</v>
      </c>
      <c r="C18" s="33" t="s">
        <v>118</v>
      </c>
      <c r="D18" s="22">
        <f t="shared" si="1"/>
        <v>93.97500000000001</v>
      </c>
      <c r="E18" s="22">
        <v>10.535</v>
      </c>
      <c r="F18" s="22"/>
      <c r="G18" s="22">
        <f>(44.9+52)*0.8</f>
        <v>77.52000000000001</v>
      </c>
      <c r="H18" s="22">
        <f>7.4*0.8</f>
        <v>5.920000000000001</v>
      </c>
      <c r="I18" s="22"/>
      <c r="J18" s="22"/>
      <c r="K18" s="22"/>
      <c r="L18" s="22"/>
      <c r="M18" s="22"/>
      <c r="N18" s="18"/>
      <c r="O18" s="18"/>
      <c r="P18" s="22"/>
    </row>
    <row r="19" spans="1:16" ht="34.5" customHeight="1">
      <c r="A19" s="8">
        <v>13</v>
      </c>
      <c r="B19" s="9" t="s">
        <v>20</v>
      </c>
      <c r="C19" s="66" t="s">
        <v>117</v>
      </c>
      <c r="D19" s="22">
        <f t="shared" si="1"/>
        <v>92.5</v>
      </c>
      <c r="E19" s="22"/>
      <c r="F19" s="22">
        <f>7+5+6+7+7+5+4+4+7+1+1</f>
        <v>54</v>
      </c>
      <c r="G19" s="22">
        <f>3+4+6+4+7+6.5+3.5</f>
        <v>34</v>
      </c>
      <c r="H19" s="22"/>
      <c r="I19" s="22"/>
      <c r="J19" s="22"/>
      <c r="K19" s="22">
        <v>4.5</v>
      </c>
      <c r="L19" s="22"/>
      <c r="M19" s="22"/>
      <c r="N19" s="18"/>
      <c r="O19" s="18"/>
      <c r="P19" s="22"/>
    </row>
  </sheetData>
  <sheetProtection/>
  <mergeCells count="8">
    <mergeCell ref="O3:O4"/>
    <mergeCell ref="P3:P4"/>
    <mergeCell ref="A2:O2"/>
    <mergeCell ref="A6:B6"/>
    <mergeCell ref="A3:A5"/>
    <mergeCell ref="B3:B5"/>
    <mergeCell ref="C3:C5"/>
    <mergeCell ref="D3:N3"/>
  </mergeCells>
  <printOptions horizontalCentered="1"/>
  <pageMargins left="0.24" right="0.2" top="0.62" bottom="0.35" header="0.47" footer="0.16"/>
  <pageSetup horizontalDpi="600" verticalDpi="600" orientation="landscape" paperSize="9" scale="65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19"/>
  <sheetViews>
    <sheetView zoomScale="70" zoomScaleNormal="70" zoomScalePageLayoutView="0" workbookViewId="0" topLeftCell="A1">
      <selection activeCell="K8" sqref="K8"/>
    </sheetView>
  </sheetViews>
  <sheetFormatPr defaultColWidth="9.00390625" defaultRowHeight="12.75"/>
  <cols>
    <col min="1" max="1" width="8.125" style="2" customWidth="1"/>
    <col min="2" max="2" width="24.625" style="2" customWidth="1"/>
    <col min="3" max="3" width="15.00390625" style="2" customWidth="1"/>
    <col min="4" max="8" width="13.75390625" style="2" customWidth="1"/>
    <col min="9" max="16384" width="9.125" style="2" customWidth="1"/>
  </cols>
  <sheetData>
    <row r="2" spans="1:8" ht="42" customHeight="1">
      <c r="A2" s="106" t="s">
        <v>35</v>
      </c>
      <c r="B2" s="106"/>
      <c r="C2" s="106"/>
      <c r="D2" s="106"/>
      <c r="E2" s="106"/>
      <c r="F2" s="106"/>
      <c r="G2" s="106"/>
      <c r="H2" s="106"/>
    </row>
    <row r="3" spans="1:8" ht="25.5" customHeight="1">
      <c r="A3" s="96" t="s">
        <v>2</v>
      </c>
      <c r="B3" s="93" t="s">
        <v>21</v>
      </c>
      <c r="C3" s="100" t="s">
        <v>27</v>
      </c>
      <c r="D3" s="100" t="s">
        <v>25</v>
      </c>
      <c r="E3" s="100" t="s">
        <v>39</v>
      </c>
      <c r="F3" s="100" t="s">
        <v>40</v>
      </c>
      <c r="G3" s="100" t="s">
        <v>26</v>
      </c>
      <c r="H3" s="100" t="s">
        <v>42</v>
      </c>
    </row>
    <row r="4" spans="1:8" ht="38.25" customHeight="1">
      <c r="A4" s="96"/>
      <c r="B4" s="93"/>
      <c r="C4" s="102"/>
      <c r="D4" s="102"/>
      <c r="E4" s="102"/>
      <c r="F4" s="102"/>
      <c r="G4" s="102"/>
      <c r="H4" s="102"/>
    </row>
    <row r="5" spans="1:8" ht="22.5" customHeight="1">
      <c r="A5" s="96"/>
      <c r="B5" s="93"/>
      <c r="C5" s="6" t="s">
        <v>13</v>
      </c>
      <c r="D5" s="6" t="s">
        <v>13</v>
      </c>
      <c r="E5" s="6" t="s">
        <v>13</v>
      </c>
      <c r="F5" s="6" t="s">
        <v>13</v>
      </c>
      <c r="G5" s="6" t="s">
        <v>13</v>
      </c>
      <c r="H5" s="6" t="s">
        <v>22</v>
      </c>
    </row>
    <row r="6" spans="1:8" ht="24" customHeight="1">
      <c r="A6" s="97" t="s">
        <v>10</v>
      </c>
      <c r="B6" s="98"/>
      <c r="C6" s="14">
        <f>SUM(C7:C19)</f>
        <v>0</v>
      </c>
      <c r="D6" s="14">
        <f>SUM(D7:D19)</f>
        <v>0</v>
      </c>
      <c r="E6" s="14">
        <f>SUM(E7:E19)</f>
        <v>0</v>
      </c>
      <c r="F6" s="14">
        <f>SUM(F7:F19)</f>
        <v>0</v>
      </c>
      <c r="G6" s="14">
        <f>SUM(G7:G19)</f>
        <v>0</v>
      </c>
      <c r="H6" s="14"/>
    </row>
    <row r="7" spans="1:8" ht="22.5" customHeight="1">
      <c r="A7" s="8">
        <v>1</v>
      </c>
      <c r="B7" s="9" t="s">
        <v>7</v>
      </c>
      <c r="C7" s="14"/>
      <c r="D7" s="10"/>
      <c r="E7" s="10"/>
      <c r="F7" s="10"/>
      <c r="G7" s="10"/>
      <c r="H7" s="10"/>
    </row>
    <row r="8" spans="1:8" ht="22.5" customHeight="1">
      <c r="A8" s="8">
        <v>2</v>
      </c>
      <c r="B8" s="9" t="s">
        <v>8</v>
      </c>
      <c r="C8" s="14"/>
      <c r="D8" s="10"/>
      <c r="E8" s="10"/>
      <c r="F8" s="10"/>
      <c r="G8" s="10"/>
      <c r="H8" s="10"/>
    </row>
    <row r="9" spans="1:8" ht="22.5" customHeight="1">
      <c r="A9" s="8">
        <v>3</v>
      </c>
      <c r="B9" s="9" t="s">
        <v>11</v>
      </c>
      <c r="C9" s="14"/>
      <c r="D9" s="10"/>
      <c r="E9" s="10"/>
      <c r="F9" s="10"/>
      <c r="G9" s="10"/>
      <c r="H9" s="10"/>
    </row>
    <row r="10" spans="1:8" ht="22.5" customHeight="1">
      <c r="A10" s="8">
        <v>4</v>
      </c>
      <c r="B10" s="9" t="s">
        <v>1</v>
      </c>
      <c r="C10" s="14"/>
      <c r="D10" s="10"/>
      <c r="E10" s="10"/>
      <c r="F10" s="10"/>
      <c r="G10" s="10"/>
      <c r="H10" s="10"/>
    </row>
    <row r="11" spans="1:8" ht="22.5" customHeight="1">
      <c r="A11" s="8">
        <v>5</v>
      </c>
      <c r="B11" s="9" t="s">
        <v>19</v>
      </c>
      <c r="C11" s="14"/>
      <c r="D11" s="10"/>
      <c r="E11" s="10"/>
      <c r="F11" s="10"/>
      <c r="G11" s="10"/>
      <c r="H11" s="10"/>
    </row>
    <row r="12" spans="1:8" ht="22.5" customHeight="1">
      <c r="A12" s="8">
        <v>6</v>
      </c>
      <c r="B12" s="9" t="s">
        <v>3</v>
      </c>
      <c r="C12" s="14"/>
      <c r="D12" s="10"/>
      <c r="E12" s="10"/>
      <c r="F12" s="10"/>
      <c r="G12" s="10"/>
      <c r="H12" s="10"/>
    </row>
    <row r="13" spans="1:8" ht="22.5" customHeight="1">
      <c r="A13" s="8">
        <v>7</v>
      </c>
      <c r="B13" s="9" t="s">
        <v>0</v>
      </c>
      <c r="C13" s="14"/>
      <c r="D13" s="10"/>
      <c r="E13" s="10"/>
      <c r="F13" s="10"/>
      <c r="G13" s="10"/>
      <c r="H13" s="10"/>
    </row>
    <row r="14" spans="1:8" ht="22.5" customHeight="1">
      <c r="A14" s="8">
        <v>8</v>
      </c>
      <c r="B14" s="9" t="s">
        <v>4</v>
      </c>
      <c r="C14" s="14"/>
      <c r="D14" s="10"/>
      <c r="E14" s="10"/>
      <c r="F14" s="10"/>
      <c r="G14" s="10"/>
      <c r="H14" s="10"/>
    </row>
    <row r="15" spans="1:8" ht="22.5" customHeight="1">
      <c r="A15" s="8">
        <v>9</v>
      </c>
      <c r="B15" s="9" t="s">
        <v>5</v>
      </c>
      <c r="C15" s="14"/>
      <c r="D15" s="10"/>
      <c r="E15" s="10"/>
      <c r="F15" s="10"/>
      <c r="G15" s="10"/>
      <c r="H15" s="10"/>
    </row>
    <row r="16" spans="1:8" ht="22.5" customHeight="1">
      <c r="A16" s="8">
        <v>10</v>
      </c>
      <c r="B16" s="9" t="s">
        <v>14</v>
      </c>
      <c r="C16" s="14"/>
      <c r="D16" s="10"/>
      <c r="E16" s="10"/>
      <c r="F16" s="10"/>
      <c r="G16" s="10"/>
      <c r="H16" s="10"/>
    </row>
    <row r="17" spans="1:8" ht="22.5" customHeight="1">
      <c r="A17" s="8">
        <v>11</v>
      </c>
      <c r="B17" s="9" t="s">
        <v>6</v>
      </c>
      <c r="C17" s="14"/>
      <c r="D17" s="11"/>
      <c r="E17" s="11"/>
      <c r="F17" s="11"/>
      <c r="G17" s="11"/>
      <c r="H17" s="11"/>
    </row>
    <row r="18" spans="1:8" ht="22.5" customHeight="1">
      <c r="A18" s="8">
        <v>12</v>
      </c>
      <c r="B18" s="9" t="s">
        <v>15</v>
      </c>
      <c r="C18" s="14"/>
      <c r="D18" s="10"/>
      <c r="E18" s="10"/>
      <c r="F18" s="10"/>
      <c r="G18" s="10"/>
      <c r="H18" s="10"/>
    </row>
    <row r="19" spans="1:8" ht="22.5" customHeight="1">
      <c r="A19" s="8">
        <v>13</v>
      </c>
      <c r="B19" s="9" t="s">
        <v>20</v>
      </c>
      <c r="C19" s="14"/>
      <c r="D19" s="10"/>
      <c r="E19" s="10"/>
      <c r="F19" s="10"/>
      <c r="G19" s="10"/>
      <c r="H19" s="10"/>
    </row>
  </sheetData>
  <sheetProtection/>
  <mergeCells count="10">
    <mergeCell ref="F3:F4"/>
    <mergeCell ref="H3:H4"/>
    <mergeCell ref="A2:H2"/>
    <mergeCell ref="A3:A5"/>
    <mergeCell ref="B3:B5"/>
    <mergeCell ref="A6:B6"/>
    <mergeCell ref="C3:C4"/>
    <mergeCell ref="D3:D4"/>
    <mergeCell ref="G3:G4"/>
    <mergeCell ref="E3:E4"/>
  </mergeCells>
  <printOptions/>
  <pageMargins left="0.32" right="0.19" top="0.75" bottom="0.75" header="0.3" footer="0.3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19"/>
  <sheetViews>
    <sheetView zoomScale="55" zoomScaleNormal="55" zoomScalePageLayoutView="0" workbookViewId="0" topLeftCell="A1">
      <selection activeCell="B27" sqref="B27"/>
    </sheetView>
  </sheetViews>
  <sheetFormatPr defaultColWidth="9.00390625" defaultRowHeight="12.75"/>
  <cols>
    <col min="1" max="1" width="8.125" style="2" customWidth="1"/>
    <col min="2" max="2" width="22.125" style="2" customWidth="1"/>
    <col min="3" max="3" width="26.375" style="67" customWidth="1"/>
    <col min="4" max="4" width="15.375" style="2" customWidth="1"/>
    <col min="5" max="5" width="20.125" style="2" customWidth="1"/>
    <col min="6" max="6" width="20.375" style="2" customWidth="1"/>
    <col min="7" max="8" width="12.375" style="2" customWidth="1"/>
    <col min="9" max="9" width="17.625" style="2" customWidth="1"/>
    <col min="10" max="10" width="11.75390625" style="2" customWidth="1"/>
    <col min="11" max="16" width="12.375" style="2" customWidth="1"/>
    <col min="17" max="17" width="9.125" style="2" customWidth="1"/>
    <col min="18" max="18" width="12.375" style="2" customWidth="1"/>
    <col min="19" max="16384" width="9.125" style="2" customWidth="1"/>
  </cols>
  <sheetData>
    <row r="1" ht="16.5"/>
    <row r="2" spans="1:16" ht="76.5" customHeight="1">
      <c r="A2" s="99" t="s">
        <v>80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</row>
    <row r="3" spans="1:16" ht="26.25" customHeight="1">
      <c r="A3" s="96" t="s">
        <v>2</v>
      </c>
      <c r="B3" s="93" t="s">
        <v>21</v>
      </c>
      <c r="C3" s="100" t="s">
        <v>45</v>
      </c>
      <c r="D3" s="93" t="s">
        <v>36</v>
      </c>
      <c r="E3" s="93"/>
      <c r="F3" s="93"/>
      <c r="G3" s="103" t="s">
        <v>53</v>
      </c>
      <c r="H3" s="104"/>
      <c r="I3" s="104"/>
      <c r="J3" s="104"/>
      <c r="K3" s="104"/>
      <c r="L3" s="104"/>
      <c r="M3" s="104"/>
      <c r="N3" s="104"/>
      <c r="O3" s="104"/>
      <c r="P3" s="105"/>
    </row>
    <row r="4" spans="1:18" ht="35.25" customHeight="1">
      <c r="A4" s="96"/>
      <c r="B4" s="93"/>
      <c r="C4" s="101"/>
      <c r="D4" s="37" t="s">
        <v>10</v>
      </c>
      <c r="E4" s="37" t="s">
        <v>65</v>
      </c>
      <c r="F4" s="37" t="s">
        <v>47</v>
      </c>
      <c r="G4" s="37" t="s">
        <v>10</v>
      </c>
      <c r="H4" s="37" t="s">
        <v>39</v>
      </c>
      <c r="I4" s="37" t="s">
        <v>48</v>
      </c>
      <c r="J4" s="37" t="s">
        <v>54</v>
      </c>
      <c r="K4" s="37" t="s">
        <v>40</v>
      </c>
      <c r="L4" s="37" t="s">
        <v>49</v>
      </c>
      <c r="M4" s="37" t="s">
        <v>50</v>
      </c>
      <c r="N4" s="37" t="s">
        <v>67</v>
      </c>
      <c r="O4" s="37" t="s">
        <v>70</v>
      </c>
      <c r="P4" s="37" t="s">
        <v>55</v>
      </c>
      <c r="R4" s="37" t="s">
        <v>51</v>
      </c>
    </row>
    <row r="5" spans="1:18" ht="24" customHeight="1">
      <c r="A5" s="96"/>
      <c r="B5" s="93"/>
      <c r="C5" s="102"/>
      <c r="D5" s="6" t="s">
        <v>13</v>
      </c>
      <c r="E5" s="6" t="s">
        <v>13</v>
      </c>
      <c r="F5" s="6" t="s">
        <v>13</v>
      </c>
      <c r="G5" s="6" t="s">
        <v>13</v>
      </c>
      <c r="H5" s="6" t="s">
        <v>13</v>
      </c>
      <c r="I5" s="6" t="s">
        <v>13</v>
      </c>
      <c r="J5" s="6" t="s">
        <v>13</v>
      </c>
      <c r="K5" s="6" t="s">
        <v>13</v>
      </c>
      <c r="L5" s="6" t="s">
        <v>13</v>
      </c>
      <c r="M5" s="6" t="s">
        <v>13</v>
      </c>
      <c r="N5" s="6" t="s">
        <v>13</v>
      </c>
      <c r="O5" s="6" t="s">
        <v>13</v>
      </c>
      <c r="P5" s="6" t="s">
        <v>13</v>
      </c>
      <c r="R5" s="6" t="s">
        <v>13</v>
      </c>
    </row>
    <row r="6" spans="1:18" ht="24" customHeight="1">
      <c r="A6" s="97" t="s">
        <v>10</v>
      </c>
      <c r="B6" s="98"/>
      <c r="C6" s="26"/>
      <c r="D6" s="29">
        <f>E6+F6</f>
        <v>580</v>
      </c>
      <c r="E6" s="21">
        <f>SUM(E7:E15)</f>
        <v>80</v>
      </c>
      <c r="F6" s="21">
        <f aca="true" t="shared" si="0" ref="F6:P6">SUM(F7:F15)</f>
        <v>500</v>
      </c>
      <c r="G6" s="21">
        <f t="shared" si="0"/>
        <v>9338</v>
      </c>
      <c r="H6" s="21">
        <f t="shared" si="0"/>
        <v>1650</v>
      </c>
      <c r="I6" s="21">
        <f t="shared" si="0"/>
        <v>4681</v>
      </c>
      <c r="J6" s="21">
        <f t="shared" si="0"/>
        <v>242</v>
      </c>
      <c r="K6" s="21">
        <f t="shared" si="0"/>
        <v>120</v>
      </c>
      <c r="L6" s="21">
        <f t="shared" si="0"/>
        <v>760</v>
      </c>
      <c r="M6" s="21">
        <f t="shared" si="0"/>
        <v>965</v>
      </c>
      <c r="N6" s="21">
        <f t="shared" si="0"/>
        <v>900</v>
      </c>
      <c r="O6" s="21">
        <f t="shared" si="0"/>
        <v>10</v>
      </c>
      <c r="P6" s="21">
        <f t="shared" si="0"/>
        <v>10</v>
      </c>
      <c r="R6" s="21">
        <f>SUM(R7:R19)</f>
        <v>4200</v>
      </c>
    </row>
    <row r="7" spans="1:18" ht="34.5" customHeight="1">
      <c r="A7" s="8">
        <v>1</v>
      </c>
      <c r="B7" s="9" t="s">
        <v>7</v>
      </c>
      <c r="C7" s="66" t="s">
        <v>66</v>
      </c>
      <c r="D7" s="30">
        <f aca="true" t="shared" si="1" ref="D7:D12">E7+F7</f>
        <v>0</v>
      </c>
      <c r="E7" s="22"/>
      <c r="F7" s="22"/>
      <c r="G7" s="22">
        <f aca="true" t="shared" si="2" ref="G7:G19">SUM(H7:P7)</f>
        <v>100</v>
      </c>
      <c r="H7" s="22">
        <v>100</v>
      </c>
      <c r="I7" s="22"/>
      <c r="J7" s="22"/>
      <c r="K7" s="22"/>
      <c r="L7" s="22"/>
      <c r="M7" s="22"/>
      <c r="N7" s="22"/>
      <c r="O7" s="22"/>
      <c r="P7" s="18"/>
      <c r="R7" s="22"/>
    </row>
    <row r="8" spans="1:18" ht="34.5" customHeight="1">
      <c r="A8" s="8">
        <v>2</v>
      </c>
      <c r="B8" s="9" t="s">
        <v>8</v>
      </c>
      <c r="C8" s="66" t="s">
        <v>52</v>
      </c>
      <c r="D8" s="30">
        <f t="shared" si="1"/>
        <v>100</v>
      </c>
      <c r="E8" s="22"/>
      <c r="F8" s="22">
        <v>100</v>
      </c>
      <c r="G8" s="22">
        <f t="shared" si="2"/>
        <v>1428</v>
      </c>
      <c r="H8" s="22"/>
      <c r="I8" s="22">
        <f>550+368</f>
        <v>918</v>
      </c>
      <c r="J8" s="22">
        <f>50</f>
        <v>50</v>
      </c>
      <c r="K8" s="22"/>
      <c r="L8" s="22">
        <f>450</f>
        <v>450</v>
      </c>
      <c r="M8" s="22"/>
      <c r="N8" s="22"/>
      <c r="O8" s="22"/>
      <c r="P8" s="18">
        <v>10</v>
      </c>
      <c r="R8" s="22">
        <f>2000-450</f>
        <v>1550</v>
      </c>
    </row>
    <row r="9" spans="1:18" ht="34.5" customHeight="1">
      <c r="A9" s="8">
        <v>3</v>
      </c>
      <c r="B9" s="9" t="s">
        <v>11</v>
      </c>
      <c r="C9" s="33"/>
      <c r="D9" s="30">
        <f t="shared" si="1"/>
        <v>100</v>
      </c>
      <c r="E9" s="22"/>
      <c r="F9" s="22">
        <v>100</v>
      </c>
      <c r="G9" s="22">
        <f t="shared" si="2"/>
        <v>550</v>
      </c>
      <c r="H9" s="22">
        <f>50+60</f>
        <v>110</v>
      </c>
      <c r="I9" s="22">
        <f>100+250</f>
        <v>350</v>
      </c>
      <c r="J9" s="22">
        <f>90</f>
        <v>90</v>
      </c>
      <c r="K9" s="22"/>
      <c r="L9" s="22"/>
      <c r="M9" s="22"/>
      <c r="N9" s="22"/>
      <c r="O9" s="22"/>
      <c r="P9" s="18"/>
      <c r="R9" s="22">
        <f>2000</f>
        <v>2000</v>
      </c>
    </row>
    <row r="10" spans="1:18" s="36" customFormat="1" ht="34.5" customHeight="1">
      <c r="A10" s="33">
        <v>4</v>
      </c>
      <c r="B10" s="27" t="s">
        <v>1</v>
      </c>
      <c r="C10" s="66" t="s">
        <v>79</v>
      </c>
      <c r="D10" s="30">
        <f t="shared" si="1"/>
        <v>140</v>
      </c>
      <c r="E10" s="34">
        <v>40</v>
      </c>
      <c r="F10" s="34">
        <v>100</v>
      </c>
      <c r="G10" s="34">
        <f t="shared" si="2"/>
        <v>1600</v>
      </c>
      <c r="H10" s="34">
        <f>240</f>
        <v>240</v>
      </c>
      <c r="I10" s="34">
        <f>635+206+77</f>
        <v>918</v>
      </c>
      <c r="J10" s="34">
        <f>90+12</f>
        <v>102</v>
      </c>
      <c r="K10" s="34">
        <f>100</f>
        <v>100</v>
      </c>
      <c r="L10" s="34"/>
      <c r="M10" s="34">
        <f>240</f>
        <v>240</v>
      </c>
      <c r="N10" s="34"/>
      <c r="O10" s="34"/>
      <c r="P10" s="35"/>
      <c r="R10" s="34"/>
    </row>
    <row r="11" spans="1:18" ht="34.5" customHeight="1">
      <c r="A11" s="8">
        <v>5</v>
      </c>
      <c r="B11" s="9" t="s">
        <v>19</v>
      </c>
      <c r="C11" s="66" t="s">
        <v>78</v>
      </c>
      <c r="D11" s="30">
        <f t="shared" si="1"/>
        <v>120</v>
      </c>
      <c r="E11" s="22">
        <v>20</v>
      </c>
      <c r="F11" s="22">
        <v>100</v>
      </c>
      <c r="G11" s="22">
        <f t="shared" si="2"/>
        <v>1005</v>
      </c>
      <c r="H11" s="22">
        <v>300</v>
      </c>
      <c r="I11" s="22">
        <f>220+155</f>
        <v>375</v>
      </c>
      <c r="J11" s="23"/>
      <c r="K11" s="22"/>
      <c r="L11" s="22"/>
      <c r="M11" s="23">
        <f>300+30</f>
        <v>330</v>
      </c>
      <c r="N11" s="23"/>
      <c r="O11" s="23"/>
      <c r="P11" s="17"/>
      <c r="R11" s="22"/>
    </row>
    <row r="12" spans="1:18" ht="34.5" customHeight="1">
      <c r="A12" s="8">
        <v>6</v>
      </c>
      <c r="B12" s="9" t="s">
        <v>3</v>
      </c>
      <c r="C12" s="3" t="s">
        <v>81</v>
      </c>
      <c r="D12" s="30">
        <f t="shared" si="1"/>
        <v>120</v>
      </c>
      <c r="E12" s="22">
        <v>20</v>
      </c>
      <c r="F12" s="22">
        <v>100</v>
      </c>
      <c r="G12" s="22">
        <f t="shared" si="2"/>
        <v>1500</v>
      </c>
      <c r="H12" s="22"/>
      <c r="I12" s="22">
        <f>840+660</f>
        <v>1500</v>
      </c>
      <c r="J12" s="22"/>
      <c r="K12" s="22"/>
      <c r="L12" s="22"/>
      <c r="M12" s="22"/>
      <c r="N12" s="22"/>
      <c r="O12" s="22"/>
      <c r="P12" s="18"/>
      <c r="R12" s="22"/>
    </row>
    <row r="13" spans="1:18" ht="34.5" customHeight="1">
      <c r="A13" s="8">
        <v>7</v>
      </c>
      <c r="B13" s="9" t="s">
        <v>0</v>
      </c>
      <c r="C13" s="66" t="s">
        <v>46</v>
      </c>
      <c r="D13" s="30"/>
      <c r="E13" s="22"/>
      <c r="F13" s="22"/>
      <c r="G13" s="22">
        <f t="shared" si="2"/>
        <v>1625</v>
      </c>
      <c r="H13" s="22">
        <v>700</v>
      </c>
      <c r="I13" s="22">
        <v>200</v>
      </c>
      <c r="J13" s="22"/>
      <c r="K13" s="22">
        <v>20</v>
      </c>
      <c r="L13" s="22">
        <v>310</v>
      </c>
      <c r="M13" s="22">
        <v>395</v>
      </c>
      <c r="N13" s="22"/>
      <c r="O13" s="22"/>
      <c r="P13" s="18"/>
      <c r="R13" s="22">
        <v>650</v>
      </c>
    </row>
    <row r="14" spans="1:18" ht="34.5" customHeight="1">
      <c r="A14" s="8">
        <v>8</v>
      </c>
      <c r="B14" s="9" t="s">
        <v>4</v>
      </c>
      <c r="C14" s="66" t="s">
        <v>63</v>
      </c>
      <c r="D14" s="30"/>
      <c r="E14" s="22"/>
      <c r="F14" s="22"/>
      <c r="G14" s="22">
        <f t="shared" si="2"/>
        <v>1380</v>
      </c>
      <c r="H14" s="22">
        <f>200</f>
        <v>200</v>
      </c>
      <c r="I14" s="22">
        <f>80+200</f>
        <v>280</v>
      </c>
      <c r="J14" s="22"/>
      <c r="K14" s="22"/>
      <c r="L14" s="22"/>
      <c r="M14" s="22"/>
      <c r="N14" s="22">
        <v>900</v>
      </c>
      <c r="O14" s="22"/>
      <c r="P14" s="18"/>
      <c r="R14" s="22"/>
    </row>
    <row r="15" spans="1:18" ht="34.5" customHeight="1">
      <c r="A15" s="8">
        <v>9</v>
      </c>
      <c r="B15" s="9" t="s">
        <v>14</v>
      </c>
      <c r="C15" s="66" t="s">
        <v>69</v>
      </c>
      <c r="D15" s="30"/>
      <c r="E15" s="22"/>
      <c r="F15" s="22"/>
      <c r="G15" s="22">
        <f>SUM(H15:P15)</f>
        <v>150</v>
      </c>
      <c r="H15" s="22"/>
      <c r="I15" s="22">
        <f>120+20</f>
        <v>140</v>
      </c>
      <c r="J15" s="22"/>
      <c r="K15" s="22"/>
      <c r="L15" s="22"/>
      <c r="M15" s="22"/>
      <c r="N15" s="22"/>
      <c r="O15" s="22">
        <f>10</f>
        <v>10</v>
      </c>
      <c r="P15" s="18"/>
      <c r="R15" s="22"/>
    </row>
    <row r="16" spans="1:18" ht="34.5" customHeight="1" hidden="1">
      <c r="A16" s="8">
        <v>9</v>
      </c>
      <c r="B16" s="9" t="s">
        <v>5</v>
      </c>
      <c r="C16" s="66" t="s">
        <v>68</v>
      </c>
      <c r="D16" s="30"/>
      <c r="E16" s="22"/>
      <c r="F16" s="22"/>
      <c r="G16" s="22">
        <f t="shared" si="2"/>
        <v>0</v>
      </c>
      <c r="H16" s="22"/>
      <c r="I16" s="22"/>
      <c r="J16" s="22"/>
      <c r="K16" s="22"/>
      <c r="L16" s="22"/>
      <c r="M16" s="22"/>
      <c r="N16" s="22"/>
      <c r="O16" s="22"/>
      <c r="P16" s="18"/>
      <c r="R16" s="22"/>
    </row>
    <row r="17" spans="1:18" ht="34.5" customHeight="1" hidden="1">
      <c r="A17" s="8">
        <v>11</v>
      </c>
      <c r="B17" s="9" t="s">
        <v>6</v>
      </c>
      <c r="C17" s="66" t="s">
        <v>71</v>
      </c>
      <c r="D17" s="30"/>
      <c r="E17" s="22"/>
      <c r="F17" s="22"/>
      <c r="G17" s="22">
        <f t="shared" si="2"/>
        <v>100</v>
      </c>
      <c r="H17" s="22">
        <v>100</v>
      </c>
      <c r="I17" s="22"/>
      <c r="J17" s="22"/>
      <c r="K17" s="22"/>
      <c r="L17" s="22"/>
      <c r="M17" s="22"/>
      <c r="N17" s="22"/>
      <c r="O17" s="22"/>
      <c r="P17" s="18"/>
      <c r="R17" s="22"/>
    </row>
    <row r="18" spans="1:18" ht="34.5" customHeight="1" hidden="1">
      <c r="A18" s="8">
        <v>12</v>
      </c>
      <c r="B18" s="9" t="s">
        <v>15</v>
      </c>
      <c r="C18" s="33"/>
      <c r="D18" s="30"/>
      <c r="E18" s="22"/>
      <c r="F18" s="22"/>
      <c r="G18" s="22">
        <f t="shared" si="2"/>
        <v>0</v>
      </c>
      <c r="H18" s="22"/>
      <c r="I18" s="22"/>
      <c r="J18" s="22"/>
      <c r="K18" s="22"/>
      <c r="L18" s="22"/>
      <c r="M18" s="22"/>
      <c r="N18" s="22"/>
      <c r="O18" s="22"/>
      <c r="P18" s="18"/>
      <c r="R18" s="22"/>
    </row>
    <row r="19" spans="1:18" ht="34.5" customHeight="1" hidden="1">
      <c r="A19" s="8">
        <v>13</v>
      </c>
      <c r="B19" s="9" t="s">
        <v>20</v>
      </c>
      <c r="C19" s="33"/>
      <c r="D19" s="30"/>
      <c r="E19" s="22"/>
      <c r="F19" s="22"/>
      <c r="G19" s="22">
        <f t="shared" si="2"/>
        <v>0</v>
      </c>
      <c r="H19" s="22"/>
      <c r="I19" s="22"/>
      <c r="J19" s="22"/>
      <c r="K19" s="22"/>
      <c r="L19" s="22"/>
      <c r="M19" s="22"/>
      <c r="N19" s="22"/>
      <c r="O19" s="22"/>
      <c r="P19" s="18"/>
      <c r="R19" s="22"/>
    </row>
  </sheetData>
  <sheetProtection/>
  <mergeCells count="7">
    <mergeCell ref="A6:B6"/>
    <mergeCell ref="A2:P2"/>
    <mergeCell ref="A3:A5"/>
    <mergeCell ref="B3:B5"/>
    <mergeCell ref="C3:C5"/>
    <mergeCell ref="D3:F3"/>
    <mergeCell ref="G3:P3"/>
  </mergeCell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9"/>
  <sheetViews>
    <sheetView zoomScale="85" zoomScaleNormal="85" zoomScalePageLayoutView="0" workbookViewId="0" topLeftCell="A1">
      <pane xSplit="3" ySplit="7" topLeftCell="D11" activePane="bottomRight" state="frozen"/>
      <selection pane="topLeft" activeCell="A1" sqref="A1"/>
      <selection pane="topRight" activeCell="D1" sqref="D1"/>
      <selection pane="bottomLeft" activeCell="A8" sqref="A8"/>
      <selection pane="bottomRight" activeCell="G8" sqref="G8"/>
    </sheetView>
  </sheetViews>
  <sheetFormatPr defaultColWidth="9.00390625" defaultRowHeight="12.75"/>
  <cols>
    <col min="1" max="1" width="8.125" style="2" customWidth="1"/>
    <col min="2" max="2" width="28.00390625" style="2" customWidth="1"/>
    <col min="3" max="3" width="26.125" style="2" customWidth="1"/>
    <col min="4" max="4" width="17.00390625" style="2" customWidth="1"/>
    <col min="5" max="5" width="22.875" style="2" customWidth="1"/>
    <col min="6" max="6" width="23.875" style="2" customWidth="1"/>
    <col min="7" max="7" width="20.875" style="2" customWidth="1"/>
    <col min="8" max="16384" width="9.125" style="2" customWidth="1"/>
  </cols>
  <sheetData>
    <row r="2" spans="1:7" ht="63" customHeight="1">
      <c r="A2" s="106" t="s">
        <v>119</v>
      </c>
      <c r="B2" s="106"/>
      <c r="C2" s="106"/>
      <c r="D2" s="106"/>
      <c r="E2" s="106"/>
      <c r="F2" s="106"/>
      <c r="G2" s="106"/>
    </row>
    <row r="3" spans="1:7" ht="27.75" customHeight="1">
      <c r="A3" s="110" t="s">
        <v>2</v>
      </c>
      <c r="B3" s="107" t="s">
        <v>21</v>
      </c>
      <c r="C3" s="100" t="s">
        <v>45</v>
      </c>
      <c r="D3" s="93" t="s">
        <v>36</v>
      </c>
      <c r="E3" s="93"/>
      <c r="F3" s="93"/>
      <c r="G3" s="100" t="s">
        <v>87</v>
      </c>
    </row>
    <row r="4" spans="1:7" ht="38.25" customHeight="1">
      <c r="A4" s="111"/>
      <c r="B4" s="108"/>
      <c r="C4" s="101"/>
      <c r="D4" s="84" t="s">
        <v>10</v>
      </c>
      <c r="E4" s="84" t="s">
        <v>44</v>
      </c>
      <c r="F4" s="84" t="s">
        <v>43</v>
      </c>
      <c r="G4" s="102"/>
    </row>
    <row r="5" spans="1:7" ht="19.5" customHeight="1">
      <c r="A5" s="112"/>
      <c r="B5" s="109"/>
      <c r="C5" s="102"/>
      <c r="D5" s="19" t="s">
        <v>22</v>
      </c>
      <c r="E5" s="19" t="s">
        <v>22</v>
      </c>
      <c r="F5" s="19" t="s">
        <v>22</v>
      </c>
      <c r="G5" s="16" t="s">
        <v>22</v>
      </c>
    </row>
    <row r="6" spans="1:7" ht="24" customHeight="1">
      <c r="A6" s="97" t="s">
        <v>10</v>
      </c>
      <c r="B6" s="98"/>
      <c r="C6" s="85"/>
      <c r="D6" s="20">
        <f aca="true" t="shared" si="0" ref="D6:D19">E6+F6</f>
        <v>11500</v>
      </c>
      <c r="E6" s="20">
        <f>SUM(E7:E19)</f>
        <v>5000</v>
      </c>
      <c r="F6" s="20">
        <f>SUM(F7:F19)</f>
        <v>6500</v>
      </c>
      <c r="G6" s="20">
        <f>SUM(G7:G19)</f>
        <v>6000</v>
      </c>
    </row>
    <row r="7" spans="1:7" ht="34.5" customHeight="1" hidden="1">
      <c r="A7" s="8">
        <v>1</v>
      </c>
      <c r="B7" s="9" t="s">
        <v>7</v>
      </c>
      <c r="C7" s="3" t="str">
        <f>'K.Phi'!C7</f>
        <v>7584/UBND-NN ngày 31/10/2020</v>
      </c>
      <c r="D7" s="18">
        <f t="shared" si="0"/>
        <v>0</v>
      </c>
      <c r="E7" s="18"/>
      <c r="F7" s="18"/>
      <c r="G7" s="18"/>
    </row>
    <row r="8" spans="1:7" ht="34.5" customHeight="1">
      <c r="A8" s="8">
        <v>1</v>
      </c>
      <c r="B8" s="9" t="s">
        <v>8</v>
      </c>
      <c r="C8" s="3" t="str">
        <f>'K.Phi'!C8</f>
        <v>404/TTr-UBND ngày 06/11/2020</v>
      </c>
      <c r="D8" s="18">
        <f t="shared" si="0"/>
        <v>1000</v>
      </c>
      <c r="E8" s="18">
        <v>1000</v>
      </c>
      <c r="F8" s="18"/>
      <c r="G8" s="18">
        <v>3000</v>
      </c>
    </row>
    <row r="9" spans="1:7" ht="34.5" customHeight="1">
      <c r="A9" s="8">
        <v>2</v>
      </c>
      <c r="B9" s="9" t="s">
        <v>11</v>
      </c>
      <c r="C9" s="3" t="str">
        <f>'K.Phi'!C9</f>
        <v>264/BC-UBND ngày 05/11/2020</v>
      </c>
      <c r="D9" s="18">
        <f t="shared" si="0"/>
        <v>3500</v>
      </c>
      <c r="E9" s="18">
        <v>1000</v>
      </c>
      <c r="F9" s="18">
        <v>2500</v>
      </c>
      <c r="G9" s="18"/>
    </row>
    <row r="10" spans="1:7" ht="49.5">
      <c r="A10" s="8">
        <v>3</v>
      </c>
      <c r="B10" s="9" t="s">
        <v>1</v>
      </c>
      <c r="C10" s="3" t="str">
        <f>'K.Phi'!C10</f>
        <v>5058/TTr-UBND ngày 5/11/2020 và 254/BC-UBND ngày 11/11/2020</v>
      </c>
      <c r="D10" s="18">
        <f t="shared" si="0"/>
        <v>3000</v>
      </c>
      <c r="E10" s="18">
        <v>1000</v>
      </c>
      <c r="F10" s="18">
        <v>2000</v>
      </c>
      <c r="G10" s="18"/>
    </row>
    <row r="11" spans="1:7" ht="34.5" customHeight="1">
      <c r="A11" s="8">
        <v>4</v>
      </c>
      <c r="B11" s="9" t="s">
        <v>19</v>
      </c>
      <c r="C11" s="3" t="str">
        <f>'K.Phi'!C11</f>
        <v>372/BC-UBND ngày 04/11/2020</v>
      </c>
      <c r="D11" s="18">
        <f t="shared" si="0"/>
        <v>2000</v>
      </c>
      <c r="E11" s="18">
        <v>1000</v>
      </c>
      <c r="F11" s="18">
        <v>1000</v>
      </c>
      <c r="G11" s="18"/>
    </row>
    <row r="12" spans="1:7" ht="34.5" customHeight="1">
      <c r="A12" s="8">
        <v>5</v>
      </c>
      <c r="B12" s="9" t="s">
        <v>3</v>
      </c>
      <c r="C12" s="3" t="str">
        <f>'K.Phi'!C12</f>
        <v>6492/UBND-KTN ngày 04/11/2020</v>
      </c>
      <c r="D12" s="18">
        <f t="shared" si="0"/>
        <v>2000</v>
      </c>
      <c r="E12" s="18">
        <v>1000</v>
      </c>
      <c r="F12" s="18">
        <v>1000</v>
      </c>
      <c r="G12" s="18"/>
    </row>
    <row r="13" spans="1:7" ht="34.5" customHeight="1">
      <c r="A13" s="8">
        <v>6</v>
      </c>
      <c r="B13" s="9" t="s">
        <v>0</v>
      </c>
      <c r="C13" s="3" t="str">
        <f>'K.Phi'!C13</f>
        <v>215/BC-UBND ngày 04/11/2020</v>
      </c>
      <c r="D13" s="18">
        <f t="shared" si="0"/>
        <v>0</v>
      </c>
      <c r="E13" s="18"/>
      <c r="F13" s="18"/>
      <c r="G13" s="18">
        <v>2000</v>
      </c>
    </row>
    <row r="14" spans="1:7" ht="34.5" customHeight="1">
      <c r="A14" s="8">
        <v>7</v>
      </c>
      <c r="B14" s="9" t="s">
        <v>4</v>
      </c>
      <c r="C14" s="3" t="str">
        <f>'K.Phi'!C14</f>
        <v>197/BC-UBND ngày 06/11/2020</v>
      </c>
      <c r="D14" s="18">
        <f t="shared" si="0"/>
        <v>0</v>
      </c>
      <c r="E14" s="18"/>
      <c r="F14" s="18"/>
      <c r="G14" s="18">
        <v>1000</v>
      </c>
    </row>
    <row r="15" spans="1:7" ht="34.5" customHeight="1" hidden="1">
      <c r="A15" s="68">
        <v>8</v>
      </c>
      <c r="B15" s="69" t="s">
        <v>5</v>
      </c>
      <c r="C15" s="70" t="str">
        <f>'K.Phi'!C16</f>
        <v>230/BC-UBND ngày 1/11/2020</v>
      </c>
      <c r="D15" s="71">
        <f t="shared" si="0"/>
        <v>0</v>
      </c>
      <c r="E15" s="71"/>
      <c r="F15" s="71"/>
      <c r="G15" s="71"/>
    </row>
    <row r="16" spans="1:7" ht="34.5" customHeight="1" hidden="1">
      <c r="A16" s="68">
        <v>9</v>
      </c>
      <c r="B16" s="69" t="s">
        <v>14</v>
      </c>
      <c r="C16" s="70" t="str">
        <f>'K.Phi'!C15</f>
        <v>334/BC-UBND ngày 07/11/2020</v>
      </c>
      <c r="D16" s="71">
        <f t="shared" si="0"/>
        <v>0</v>
      </c>
      <c r="E16" s="71"/>
      <c r="F16" s="71"/>
      <c r="G16" s="71"/>
    </row>
    <row r="17" spans="1:7" ht="34.5" customHeight="1" hidden="1">
      <c r="A17" s="68">
        <v>10</v>
      </c>
      <c r="B17" s="69" t="s">
        <v>6</v>
      </c>
      <c r="C17" s="70" t="str">
        <f>'K.Phi'!C17</f>
        <v>2273/TTr-UBND ngày 06/11/2020</v>
      </c>
      <c r="D17" s="71">
        <f t="shared" si="0"/>
        <v>0</v>
      </c>
      <c r="E17" s="71"/>
      <c r="F17" s="71"/>
      <c r="G17" s="71"/>
    </row>
    <row r="18" spans="1:7" ht="34.5" customHeight="1" hidden="1">
      <c r="A18" s="68">
        <v>11</v>
      </c>
      <c r="B18" s="69" t="s">
        <v>15</v>
      </c>
      <c r="C18" s="70" t="str">
        <f>'K.Phi'!C18</f>
        <v>103/TTr-UBND ngày 4/11/2020</v>
      </c>
      <c r="D18" s="71">
        <f t="shared" si="0"/>
        <v>0</v>
      </c>
      <c r="E18" s="71"/>
      <c r="F18" s="71"/>
      <c r="G18" s="71"/>
    </row>
    <row r="19" spans="1:7" ht="34.5" customHeight="1" hidden="1">
      <c r="A19" s="68">
        <v>12</v>
      </c>
      <c r="B19" s="69" t="s">
        <v>20</v>
      </c>
      <c r="C19" s="70" t="str">
        <f>'K.Phi'!C19</f>
        <v>647/BC-UBND ngày 4/11/2020</v>
      </c>
      <c r="D19" s="71">
        <f t="shared" si="0"/>
        <v>0</v>
      </c>
      <c r="E19" s="71"/>
      <c r="F19" s="71"/>
      <c r="G19" s="71"/>
    </row>
  </sheetData>
  <sheetProtection/>
  <mergeCells count="7">
    <mergeCell ref="D3:F3"/>
    <mergeCell ref="A6:B6"/>
    <mergeCell ref="A2:G2"/>
    <mergeCell ref="G3:G4"/>
    <mergeCell ref="C3:C5"/>
    <mergeCell ref="B3:B5"/>
    <mergeCell ref="A3:A5"/>
  </mergeCells>
  <printOptions/>
  <pageMargins left="0.72" right="0.17" top="0.72" bottom="0.47" header="0.3" footer="0.3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19"/>
  <sheetViews>
    <sheetView zoomScale="85" zoomScaleNormal="85" zoomScalePageLayoutView="0" workbookViewId="0" topLeftCell="A1">
      <selection activeCell="Q6" sqref="Q6"/>
    </sheetView>
  </sheetViews>
  <sheetFormatPr defaultColWidth="9.00390625" defaultRowHeight="12.75"/>
  <cols>
    <col min="1" max="1" width="8.125" style="2" customWidth="1"/>
    <col min="2" max="3" width="24.625" style="2" customWidth="1"/>
    <col min="4" max="4" width="18.625" style="2" hidden="1" customWidth="1"/>
    <col min="5" max="7" width="12.75390625" style="2" hidden="1" customWidth="1"/>
    <col min="8" max="9" width="12.75390625" style="2" customWidth="1"/>
    <col min="10" max="12" width="12.25390625" style="2" customWidth="1"/>
    <col min="13" max="16384" width="9.125" style="2" customWidth="1"/>
  </cols>
  <sheetData>
    <row r="2" spans="1:12" ht="62.25" customHeight="1">
      <c r="A2" s="113" t="s">
        <v>120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</row>
    <row r="3" spans="1:12" ht="36.75" customHeight="1">
      <c r="A3" s="96" t="s">
        <v>2</v>
      </c>
      <c r="B3" s="93" t="s">
        <v>21</v>
      </c>
      <c r="C3" s="100" t="s">
        <v>64</v>
      </c>
      <c r="D3" s="84" t="s">
        <v>56</v>
      </c>
      <c r="E3" s="84" t="s">
        <v>73</v>
      </c>
      <c r="F3" s="84" t="s">
        <v>74</v>
      </c>
      <c r="G3" s="84" t="s">
        <v>76</v>
      </c>
      <c r="H3" s="103" t="s">
        <v>36</v>
      </c>
      <c r="I3" s="105"/>
      <c r="J3" s="103" t="s">
        <v>88</v>
      </c>
      <c r="K3" s="104"/>
      <c r="L3" s="105"/>
    </row>
    <row r="4" spans="1:12" ht="21" customHeight="1">
      <c r="A4" s="96"/>
      <c r="B4" s="93"/>
      <c r="C4" s="101"/>
      <c r="D4" s="84"/>
      <c r="E4" s="84"/>
      <c r="F4" s="84"/>
      <c r="G4" s="84"/>
      <c r="H4" s="84" t="s">
        <v>17</v>
      </c>
      <c r="I4" s="84" t="s">
        <v>18</v>
      </c>
      <c r="J4" s="84" t="s">
        <v>16</v>
      </c>
      <c r="K4" s="84" t="s">
        <v>17</v>
      </c>
      <c r="L4" s="84" t="s">
        <v>18</v>
      </c>
    </row>
    <row r="5" spans="1:12" ht="18" customHeight="1">
      <c r="A5" s="96"/>
      <c r="B5" s="93"/>
      <c r="C5" s="102"/>
      <c r="D5" s="6" t="s">
        <v>13</v>
      </c>
      <c r="E5" s="6" t="s">
        <v>75</v>
      </c>
      <c r="F5" s="6" t="s">
        <v>75</v>
      </c>
      <c r="G5" s="6" t="s">
        <v>75</v>
      </c>
      <c r="H5" s="6" t="s">
        <v>31</v>
      </c>
      <c r="I5" s="6" t="s">
        <v>31</v>
      </c>
      <c r="J5" s="6" t="s">
        <v>22</v>
      </c>
      <c r="K5" s="6" t="s">
        <v>22</v>
      </c>
      <c r="L5" s="6" t="s">
        <v>22</v>
      </c>
    </row>
    <row r="6" spans="1:12" ht="24" customHeight="1">
      <c r="A6" s="97" t="s">
        <v>10</v>
      </c>
      <c r="B6" s="98"/>
      <c r="C6" s="85"/>
      <c r="D6" s="85"/>
      <c r="E6" s="21">
        <f aca="true" t="shared" si="0" ref="E6:L6">SUM(E7:E19)</f>
        <v>700</v>
      </c>
      <c r="F6" s="21">
        <f t="shared" si="0"/>
        <v>17000</v>
      </c>
      <c r="G6" s="21">
        <f t="shared" si="0"/>
        <v>770000</v>
      </c>
      <c r="H6" s="31">
        <f>SUM(H7:H19)</f>
        <v>18</v>
      </c>
      <c r="I6" s="31">
        <f>SUM(I7:I19)</f>
        <v>10.790000000000001</v>
      </c>
      <c r="J6" s="21">
        <f t="shared" si="0"/>
        <v>7600</v>
      </c>
      <c r="K6" s="21">
        <f t="shared" si="0"/>
        <v>305</v>
      </c>
      <c r="L6" s="31">
        <f t="shared" si="0"/>
        <v>59.2</v>
      </c>
    </row>
    <row r="7" spans="1:12" ht="33.75" customHeight="1" hidden="1">
      <c r="A7" s="8">
        <v>1</v>
      </c>
      <c r="B7" s="9" t="s">
        <v>7</v>
      </c>
      <c r="C7" s="25" t="str">
        <f>'K.Phi'!C7</f>
        <v>7584/UBND-NN ngày 31/10/2020</v>
      </c>
      <c r="D7" s="23"/>
      <c r="E7" s="22"/>
      <c r="F7" s="22"/>
      <c r="G7" s="22"/>
      <c r="H7" s="32"/>
      <c r="I7" s="32"/>
      <c r="J7" s="23"/>
      <c r="K7" s="22"/>
      <c r="L7" s="32"/>
    </row>
    <row r="8" spans="1:12" ht="33.75" customHeight="1">
      <c r="A8" s="8">
        <v>1</v>
      </c>
      <c r="B8" s="9" t="s">
        <v>8</v>
      </c>
      <c r="C8" s="25" t="str">
        <f>'K.Phi'!C8</f>
        <v>404/TTr-UBND ngày 06/11/2020</v>
      </c>
      <c r="D8" s="23"/>
      <c r="E8" s="22"/>
      <c r="F8" s="22"/>
      <c r="G8" s="22"/>
      <c r="H8" s="32">
        <v>8</v>
      </c>
      <c r="I8" s="32">
        <v>5.94</v>
      </c>
      <c r="J8" s="22">
        <v>2000</v>
      </c>
      <c r="K8" s="22">
        <v>170</v>
      </c>
      <c r="L8" s="32">
        <v>30</v>
      </c>
    </row>
    <row r="9" spans="1:12" ht="33.75" customHeight="1">
      <c r="A9" s="8">
        <v>2</v>
      </c>
      <c r="B9" s="9" t="s">
        <v>11</v>
      </c>
      <c r="C9" s="25" t="str">
        <f>'K.Phi'!C9</f>
        <v>264/BC-UBND ngày 05/11/2020</v>
      </c>
      <c r="D9" s="23"/>
      <c r="E9" s="22">
        <v>700</v>
      </c>
      <c r="F9" s="22">
        <v>17000</v>
      </c>
      <c r="G9" s="22">
        <f>750000+20000</f>
        <v>770000</v>
      </c>
      <c r="H9" s="32">
        <v>5</v>
      </c>
      <c r="I9" s="32">
        <v>4.2</v>
      </c>
      <c r="J9" s="22">
        <f>2000</f>
        <v>2000</v>
      </c>
      <c r="K9" s="22">
        <f>5</f>
        <v>5</v>
      </c>
      <c r="L9" s="32">
        <f>4.2</f>
        <v>4.2</v>
      </c>
    </row>
    <row r="10" spans="1:12" ht="66">
      <c r="A10" s="8">
        <v>3</v>
      </c>
      <c r="B10" s="9" t="s">
        <v>1</v>
      </c>
      <c r="C10" s="25" t="str">
        <f>'K.Phi'!C10</f>
        <v>5058/TTr-UBND ngày 5/11/2020 và 254/BC-UBND ngày 11/11/2020</v>
      </c>
      <c r="D10" s="23"/>
      <c r="E10" s="22"/>
      <c r="F10" s="22"/>
      <c r="G10" s="22"/>
      <c r="H10" s="32"/>
      <c r="I10" s="32"/>
      <c r="J10" s="22">
        <v>2000</v>
      </c>
      <c r="K10" s="22">
        <v>80</v>
      </c>
      <c r="L10" s="32">
        <v>15</v>
      </c>
    </row>
    <row r="11" spans="1:12" ht="33.75" customHeight="1">
      <c r="A11" s="8">
        <v>4</v>
      </c>
      <c r="B11" s="9" t="s">
        <v>19</v>
      </c>
      <c r="C11" s="25" t="str">
        <f>'K.Phi'!C11</f>
        <v>372/BC-UBND ngày 04/11/2020</v>
      </c>
      <c r="D11" s="23"/>
      <c r="E11" s="22"/>
      <c r="F11" s="22"/>
      <c r="G11" s="22"/>
      <c r="H11" s="32">
        <v>5</v>
      </c>
      <c r="I11" s="32">
        <v>0.65</v>
      </c>
      <c r="J11" s="22">
        <v>1500</v>
      </c>
      <c r="K11" s="22"/>
      <c r="L11" s="32"/>
    </row>
    <row r="12" spans="1:12" ht="33.75" customHeight="1">
      <c r="A12" s="8">
        <v>5</v>
      </c>
      <c r="B12" s="9" t="s">
        <v>3</v>
      </c>
      <c r="C12" s="25" t="str">
        <f>'K.Phi'!C12</f>
        <v>6492/UBND-KTN ngày 04/11/2020</v>
      </c>
      <c r="D12" s="23"/>
      <c r="E12" s="22"/>
      <c r="F12" s="22"/>
      <c r="G12" s="22"/>
      <c r="H12" s="32"/>
      <c r="I12" s="32"/>
      <c r="J12" s="22">
        <v>100</v>
      </c>
      <c r="K12" s="22">
        <v>50</v>
      </c>
      <c r="L12" s="32">
        <v>10</v>
      </c>
    </row>
    <row r="13" spans="1:12" ht="33.75" customHeight="1" hidden="1">
      <c r="A13" s="68">
        <v>6</v>
      </c>
      <c r="B13" s="69" t="s">
        <v>0</v>
      </c>
      <c r="C13" s="72" t="str">
        <f>'K.Phi'!C13</f>
        <v>215/BC-UBND ngày 04/11/2020</v>
      </c>
      <c r="D13" s="73"/>
      <c r="E13" s="74"/>
      <c r="F13" s="74"/>
      <c r="G13" s="74"/>
      <c r="H13" s="75"/>
      <c r="I13" s="75"/>
      <c r="J13" s="74"/>
      <c r="K13" s="73"/>
      <c r="L13" s="75"/>
    </row>
    <row r="14" spans="1:12" ht="33.75" customHeight="1" hidden="1">
      <c r="A14" s="68">
        <v>7</v>
      </c>
      <c r="B14" s="69" t="s">
        <v>4</v>
      </c>
      <c r="C14" s="72" t="str">
        <f>'K.Phi'!C14</f>
        <v>197/BC-UBND ngày 06/11/2020</v>
      </c>
      <c r="D14" s="73"/>
      <c r="E14" s="74"/>
      <c r="F14" s="74"/>
      <c r="G14" s="74"/>
      <c r="H14" s="75"/>
      <c r="I14" s="75"/>
      <c r="J14" s="74"/>
      <c r="K14" s="73"/>
      <c r="L14" s="75"/>
    </row>
    <row r="15" spans="1:12" ht="33.75" customHeight="1" hidden="1">
      <c r="A15" s="68">
        <v>8</v>
      </c>
      <c r="B15" s="69" t="s">
        <v>5</v>
      </c>
      <c r="C15" s="72" t="str">
        <f>'K.Phi'!C16</f>
        <v>230/BC-UBND ngày 1/11/2020</v>
      </c>
      <c r="D15" s="73"/>
      <c r="E15" s="74"/>
      <c r="F15" s="74"/>
      <c r="G15" s="74"/>
      <c r="H15" s="75"/>
      <c r="I15" s="75"/>
      <c r="J15" s="74"/>
      <c r="K15" s="73"/>
      <c r="L15" s="75"/>
    </row>
    <row r="16" spans="1:12" ht="33.75" customHeight="1" hidden="1">
      <c r="A16" s="68">
        <v>9</v>
      </c>
      <c r="B16" s="69" t="s">
        <v>14</v>
      </c>
      <c r="C16" s="72" t="str">
        <f>'K.Phi'!C15</f>
        <v>334/BC-UBND ngày 07/11/2020</v>
      </c>
      <c r="D16" s="73"/>
      <c r="E16" s="74"/>
      <c r="F16" s="74"/>
      <c r="G16" s="74"/>
      <c r="H16" s="75"/>
      <c r="I16" s="75"/>
      <c r="J16" s="74"/>
      <c r="K16" s="73"/>
      <c r="L16" s="75"/>
    </row>
    <row r="17" spans="1:12" ht="33.75" customHeight="1" hidden="1">
      <c r="A17" s="68">
        <v>10</v>
      </c>
      <c r="B17" s="69" t="s">
        <v>6</v>
      </c>
      <c r="C17" s="72" t="str">
        <f>'K.Phi'!C17</f>
        <v>2273/TTr-UBND ngày 06/11/2020</v>
      </c>
      <c r="D17" s="73"/>
      <c r="E17" s="74"/>
      <c r="F17" s="74"/>
      <c r="G17" s="74"/>
      <c r="H17" s="76"/>
      <c r="I17" s="75"/>
      <c r="J17" s="74"/>
      <c r="K17" s="73"/>
      <c r="L17" s="76"/>
    </row>
    <row r="18" spans="1:12" ht="33.75" customHeight="1" hidden="1">
      <c r="A18" s="68">
        <v>11</v>
      </c>
      <c r="B18" s="69" t="s">
        <v>15</v>
      </c>
      <c r="C18" s="72" t="str">
        <f>'K.Phi'!C18</f>
        <v>103/TTr-UBND ngày 4/11/2020</v>
      </c>
      <c r="D18" s="73"/>
      <c r="E18" s="74"/>
      <c r="F18" s="74"/>
      <c r="G18" s="74"/>
      <c r="H18" s="75"/>
      <c r="I18" s="75"/>
      <c r="J18" s="74"/>
      <c r="K18" s="73"/>
      <c r="L18" s="75"/>
    </row>
    <row r="19" spans="1:12" ht="33.75" customHeight="1" hidden="1">
      <c r="A19" s="68">
        <v>12</v>
      </c>
      <c r="B19" s="69" t="s">
        <v>20</v>
      </c>
      <c r="C19" s="72" t="str">
        <f>'K.Phi'!C19</f>
        <v>647/BC-UBND ngày 4/11/2020</v>
      </c>
      <c r="D19" s="73"/>
      <c r="E19" s="74"/>
      <c r="F19" s="74"/>
      <c r="G19" s="74"/>
      <c r="H19" s="75"/>
      <c r="I19" s="75"/>
      <c r="J19" s="74"/>
      <c r="K19" s="73"/>
      <c r="L19" s="75"/>
    </row>
  </sheetData>
  <sheetProtection/>
  <mergeCells count="7">
    <mergeCell ref="A3:A5"/>
    <mergeCell ref="B3:B5"/>
    <mergeCell ref="A6:B6"/>
    <mergeCell ref="H3:I3"/>
    <mergeCell ref="J3:L3"/>
    <mergeCell ref="A2:L2"/>
    <mergeCell ref="C3:C5"/>
  </mergeCells>
  <printOptions/>
  <pageMargins left="1.13" right="0.26" top="0.65" bottom="0.34" header="0.3" footer="0.19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18"/>
  <sheetViews>
    <sheetView zoomScale="85" zoomScaleNormal="8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F23" sqref="F23"/>
    </sheetView>
  </sheetViews>
  <sheetFormatPr defaultColWidth="9.00390625" defaultRowHeight="12.75"/>
  <cols>
    <col min="1" max="1" width="8.125" style="2" customWidth="1"/>
    <col min="2" max="2" width="24.625" style="2" customWidth="1"/>
    <col min="3" max="3" width="17.75390625" style="2" customWidth="1"/>
    <col min="4" max="4" width="20.875" style="2" hidden="1" customWidth="1"/>
    <col min="5" max="5" width="15.00390625" style="2" hidden="1" customWidth="1"/>
    <col min="6" max="6" width="17.75390625" style="2" customWidth="1"/>
    <col min="7" max="7" width="12.25390625" style="2" hidden="1" customWidth="1"/>
    <col min="8" max="8" width="12.25390625" style="2" customWidth="1"/>
    <col min="9" max="9" width="19.375" style="2" customWidth="1"/>
    <col min="10" max="10" width="8.75390625" style="2" hidden="1" customWidth="1"/>
    <col min="11" max="12" width="10.875" style="2" customWidth="1"/>
    <col min="13" max="13" width="20.00390625" style="2" customWidth="1"/>
    <col min="14" max="16384" width="9.125" style="2" customWidth="1"/>
  </cols>
  <sheetData>
    <row r="2" spans="1:13" ht="84" customHeight="1">
      <c r="A2" s="106" t="s">
        <v>108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</row>
    <row r="3" spans="1:13" ht="36.75" customHeight="1">
      <c r="A3" s="96" t="s">
        <v>2</v>
      </c>
      <c r="B3" s="93" t="s">
        <v>21</v>
      </c>
      <c r="C3" s="38" t="s">
        <v>62</v>
      </c>
      <c r="D3" s="38" t="s">
        <v>34</v>
      </c>
      <c r="E3" s="38" t="s">
        <v>32</v>
      </c>
      <c r="F3" s="38" t="s">
        <v>61</v>
      </c>
      <c r="G3" s="38" t="s">
        <v>60</v>
      </c>
      <c r="H3" s="38" t="s">
        <v>33</v>
      </c>
      <c r="I3" s="38" t="s">
        <v>59</v>
      </c>
      <c r="J3" s="114" t="s">
        <v>23</v>
      </c>
      <c r="K3" s="115"/>
      <c r="L3" s="39" t="s">
        <v>83</v>
      </c>
      <c r="M3" s="38" t="s">
        <v>57</v>
      </c>
    </row>
    <row r="4" spans="1:13" s="1" customFormat="1" ht="26.25" customHeight="1">
      <c r="A4" s="96"/>
      <c r="B4" s="93"/>
      <c r="C4" s="15" t="s">
        <v>28</v>
      </c>
      <c r="D4" s="15" t="s">
        <v>28</v>
      </c>
      <c r="E4" s="15" t="s">
        <v>41</v>
      </c>
      <c r="F4" s="15" t="s">
        <v>29</v>
      </c>
      <c r="G4" s="15" t="s">
        <v>29</v>
      </c>
      <c r="H4" s="15" t="s">
        <v>29</v>
      </c>
      <c r="I4" s="15" t="s">
        <v>31</v>
      </c>
      <c r="J4" s="15" t="s">
        <v>30</v>
      </c>
      <c r="K4" s="15" t="s">
        <v>31</v>
      </c>
      <c r="L4" s="15" t="s">
        <v>89</v>
      </c>
      <c r="M4" s="15" t="s">
        <v>58</v>
      </c>
    </row>
    <row r="5" spans="1:13" ht="21.75" customHeight="1">
      <c r="A5" s="97" t="s">
        <v>10</v>
      </c>
      <c r="B5" s="98"/>
      <c r="C5" s="21">
        <f aca="true" t="shared" si="0" ref="C5:M5">SUM(C6:C18)</f>
        <v>30000</v>
      </c>
      <c r="D5" s="21">
        <f t="shared" si="0"/>
        <v>0</v>
      </c>
      <c r="E5" s="21">
        <f t="shared" si="0"/>
        <v>0</v>
      </c>
      <c r="F5" s="21">
        <f t="shared" si="0"/>
        <v>40000</v>
      </c>
      <c r="G5" s="21">
        <f t="shared" si="0"/>
        <v>0</v>
      </c>
      <c r="H5" s="21">
        <f t="shared" si="0"/>
        <v>20000</v>
      </c>
      <c r="I5" s="21">
        <f t="shared" si="0"/>
        <v>70</v>
      </c>
      <c r="J5" s="21">
        <f>SUM(J6:J18)</f>
        <v>0</v>
      </c>
      <c r="K5" s="21">
        <f>SUM(K6:K18)</f>
        <v>4.3</v>
      </c>
      <c r="L5" s="21">
        <f>SUM(L6:L18)</f>
        <v>430</v>
      </c>
      <c r="M5" s="21">
        <f t="shared" si="0"/>
        <v>13416000</v>
      </c>
    </row>
    <row r="6" spans="1:13" ht="25.5" customHeight="1" hidden="1">
      <c r="A6" s="8">
        <v>1</v>
      </c>
      <c r="B6" s="9" t="s">
        <v>7</v>
      </c>
      <c r="C6" s="22"/>
      <c r="D6" s="22"/>
      <c r="E6" s="24"/>
      <c r="F6" s="22"/>
      <c r="G6" s="22"/>
      <c r="H6" s="24"/>
      <c r="I6" s="22"/>
      <c r="J6" s="22"/>
      <c r="K6" s="23"/>
      <c r="L6" s="22"/>
      <c r="M6" s="22"/>
    </row>
    <row r="7" spans="1:13" ht="25.5" customHeight="1">
      <c r="A7" s="8">
        <v>1</v>
      </c>
      <c r="B7" s="9" t="s">
        <v>8</v>
      </c>
      <c r="C7" s="22"/>
      <c r="D7" s="22"/>
      <c r="E7" s="24"/>
      <c r="F7" s="22"/>
      <c r="G7" s="22"/>
      <c r="H7" s="24">
        <f>15000</f>
        <v>15000</v>
      </c>
      <c r="I7" s="22"/>
      <c r="J7" s="22"/>
      <c r="K7" s="23">
        <v>1</v>
      </c>
      <c r="L7" s="22">
        <v>100</v>
      </c>
      <c r="M7" s="22">
        <f>1500000+2200000+32000</f>
        <v>3732000</v>
      </c>
    </row>
    <row r="8" spans="1:13" ht="25.5" customHeight="1">
      <c r="A8" s="8">
        <v>2</v>
      </c>
      <c r="B8" s="9" t="s">
        <v>11</v>
      </c>
      <c r="C8" s="22"/>
      <c r="D8" s="22"/>
      <c r="E8" s="24"/>
      <c r="F8" s="22">
        <f>10000</f>
        <v>10000</v>
      </c>
      <c r="G8" s="22"/>
      <c r="H8" s="24"/>
      <c r="I8" s="22">
        <f>20</f>
        <v>20</v>
      </c>
      <c r="J8" s="22"/>
      <c r="K8" s="23">
        <v>1.3</v>
      </c>
      <c r="L8" s="22">
        <v>150</v>
      </c>
      <c r="M8" s="22">
        <f>700000+32000</f>
        <v>732000</v>
      </c>
    </row>
    <row r="9" spans="1:13" ht="25.5" customHeight="1">
      <c r="A9" s="8">
        <v>3</v>
      </c>
      <c r="B9" s="9" t="s">
        <v>1</v>
      </c>
      <c r="C9" s="22"/>
      <c r="D9" s="22"/>
      <c r="E9" s="24"/>
      <c r="F9" s="22"/>
      <c r="G9" s="22"/>
      <c r="H9" s="24">
        <f>5000</f>
        <v>5000</v>
      </c>
      <c r="I9" s="22">
        <f>50</f>
        <v>50</v>
      </c>
      <c r="J9" s="22"/>
      <c r="K9" s="23"/>
      <c r="L9" s="22">
        <v>80</v>
      </c>
      <c r="M9" s="22">
        <f>1000000+1700000+64000</f>
        <v>2764000</v>
      </c>
    </row>
    <row r="10" spans="1:13" ht="25.5" customHeight="1">
      <c r="A10" s="8">
        <v>4</v>
      </c>
      <c r="B10" s="9" t="s">
        <v>19</v>
      </c>
      <c r="C10" s="22">
        <f>30000</f>
        <v>30000</v>
      </c>
      <c r="D10" s="22"/>
      <c r="E10" s="24"/>
      <c r="F10" s="22">
        <f>15000</f>
        <v>15000</v>
      </c>
      <c r="G10" s="22"/>
      <c r="H10" s="24"/>
      <c r="I10" s="22"/>
      <c r="J10" s="22"/>
      <c r="K10" s="23">
        <v>1</v>
      </c>
      <c r="L10" s="22"/>
      <c r="M10" s="22">
        <f>1950000+64000</f>
        <v>2014000</v>
      </c>
    </row>
    <row r="11" spans="1:13" ht="25.5" customHeight="1">
      <c r="A11" s="8">
        <v>5</v>
      </c>
      <c r="B11" s="9" t="s">
        <v>3</v>
      </c>
      <c r="C11" s="22"/>
      <c r="D11" s="22"/>
      <c r="E11" s="24"/>
      <c r="F11" s="22">
        <f>15000</f>
        <v>15000</v>
      </c>
      <c r="G11" s="22"/>
      <c r="H11" s="24"/>
      <c r="I11" s="22"/>
      <c r="J11" s="22"/>
      <c r="K11" s="23">
        <v>1</v>
      </c>
      <c r="L11" s="22">
        <v>50</v>
      </c>
      <c r="M11" s="22">
        <f>1000000+1700000</f>
        <v>2700000</v>
      </c>
    </row>
    <row r="12" spans="1:13" ht="25.5" customHeight="1">
      <c r="A12" s="8">
        <v>6</v>
      </c>
      <c r="B12" s="9" t="s">
        <v>0</v>
      </c>
      <c r="C12" s="22"/>
      <c r="D12" s="22"/>
      <c r="E12" s="24"/>
      <c r="F12" s="22"/>
      <c r="G12" s="22"/>
      <c r="H12" s="24"/>
      <c r="I12" s="22"/>
      <c r="J12" s="22"/>
      <c r="K12" s="23"/>
      <c r="L12" s="22">
        <v>50</v>
      </c>
      <c r="M12" s="22">
        <f>200000+1210000+64000</f>
        <v>1474000</v>
      </c>
    </row>
    <row r="13" spans="1:13" ht="25.5" customHeight="1" hidden="1">
      <c r="A13" s="68">
        <v>8</v>
      </c>
      <c r="B13" s="69" t="s">
        <v>4</v>
      </c>
      <c r="C13" s="74"/>
      <c r="D13" s="74"/>
      <c r="E13" s="77"/>
      <c r="F13" s="74"/>
      <c r="G13" s="74"/>
      <c r="H13" s="77"/>
      <c r="I13" s="74"/>
      <c r="J13" s="74"/>
      <c r="K13" s="73"/>
      <c r="L13" s="74"/>
      <c r="M13" s="74"/>
    </row>
    <row r="14" spans="1:13" ht="25.5" customHeight="1" hidden="1">
      <c r="A14" s="68">
        <v>9</v>
      </c>
      <c r="B14" s="69" t="s">
        <v>5</v>
      </c>
      <c r="C14" s="74"/>
      <c r="D14" s="74"/>
      <c r="E14" s="77"/>
      <c r="F14" s="74"/>
      <c r="G14" s="74"/>
      <c r="H14" s="77"/>
      <c r="I14" s="74"/>
      <c r="J14" s="74"/>
      <c r="K14" s="73"/>
      <c r="L14" s="74"/>
      <c r="M14" s="74"/>
    </row>
    <row r="15" spans="1:13" ht="25.5" customHeight="1" hidden="1">
      <c r="A15" s="68">
        <v>10</v>
      </c>
      <c r="B15" s="69" t="s">
        <v>14</v>
      </c>
      <c r="C15" s="74"/>
      <c r="D15" s="74"/>
      <c r="E15" s="77"/>
      <c r="F15" s="74"/>
      <c r="G15" s="74"/>
      <c r="H15" s="77"/>
      <c r="I15" s="74"/>
      <c r="J15" s="74"/>
      <c r="K15" s="74"/>
      <c r="L15" s="74"/>
      <c r="M15" s="74"/>
    </row>
    <row r="16" spans="1:13" ht="25.5" customHeight="1" hidden="1">
      <c r="A16" s="68">
        <v>11</v>
      </c>
      <c r="B16" s="69" t="s">
        <v>6</v>
      </c>
      <c r="C16" s="74"/>
      <c r="D16" s="74"/>
      <c r="E16" s="78"/>
      <c r="F16" s="74"/>
      <c r="G16" s="74"/>
      <c r="H16" s="78"/>
      <c r="I16" s="74"/>
      <c r="J16" s="74"/>
      <c r="K16" s="74"/>
      <c r="L16" s="74"/>
      <c r="M16" s="74"/>
    </row>
    <row r="17" spans="1:13" ht="25.5" customHeight="1" hidden="1">
      <c r="A17" s="68">
        <v>12</v>
      </c>
      <c r="B17" s="69" t="s">
        <v>15</v>
      </c>
      <c r="C17" s="74"/>
      <c r="D17" s="74"/>
      <c r="E17" s="77"/>
      <c r="F17" s="74"/>
      <c r="G17" s="74"/>
      <c r="H17" s="77"/>
      <c r="I17" s="74"/>
      <c r="J17" s="74"/>
      <c r="K17" s="74"/>
      <c r="L17" s="74"/>
      <c r="M17" s="74"/>
    </row>
    <row r="18" spans="1:13" ht="25.5" customHeight="1" hidden="1">
      <c r="A18" s="68">
        <v>13</v>
      </c>
      <c r="B18" s="69" t="s">
        <v>20</v>
      </c>
      <c r="C18" s="74"/>
      <c r="D18" s="74"/>
      <c r="E18" s="77"/>
      <c r="F18" s="74"/>
      <c r="G18" s="74"/>
      <c r="H18" s="77"/>
      <c r="I18" s="74"/>
      <c r="J18" s="74"/>
      <c r="K18" s="74"/>
      <c r="L18" s="74"/>
      <c r="M18" s="74"/>
    </row>
  </sheetData>
  <sheetProtection/>
  <mergeCells count="5">
    <mergeCell ref="A3:A4"/>
    <mergeCell ref="B3:B4"/>
    <mergeCell ref="A5:B5"/>
    <mergeCell ref="A2:M2"/>
    <mergeCell ref="J3:K3"/>
  </mergeCells>
  <printOptions/>
  <pageMargins left="1.44" right="0.33" top="0.75" bottom="0.75" header="0.3" footer="0.3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R18"/>
  <sheetViews>
    <sheetView zoomScale="70" zoomScaleNormal="7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H24" sqref="H24"/>
    </sheetView>
  </sheetViews>
  <sheetFormatPr defaultColWidth="9.00390625" defaultRowHeight="12.75"/>
  <cols>
    <col min="1" max="1" width="8.125" style="2" customWidth="1"/>
    <col min="2" max="2" width="18.875" style="2" customWidth="1"/>
    <col min="3" max="3" width="20.625" style="2" customWidth="1"/>
    <col min="4" max="4" width="17.875" style="2" customWidth="1"/>
    <col min="5" max="5" width="16.625" style="2" hidden="1" customWidth="1"/>
    <col min="6" max="6" width="12.875" style="2" customWidth="1"/>
    <col min="7" max="7" width="14.125" style="2" customWidth="1"/>
    <col min="8" max="8" width="13.75390625" style="2" customWidth="1"/>
    <col min="9" max="9" width="9.25390625" style="2" customWidth="1"/>
    <col min="10" max="10" width="11.00390625" style="2" customWidth="1"/>
    <col min="11" max="11" width="9.625" style="2" customWidth="1"/>
    <col min="12" max="12" width="7.625" style="2" customWidth="1"/>
    <col min="13" max="13" width="12.25390625" style="2" customWidth="1"/>
    <col min="14" max="14" width="10.75390625" style="2" customWidth="1"/>
    <col min="15" max="15" width="11.125" style="2" customWidth="1"/>
    <col min="16" max="16" width="11.375" style="2" customWidth="1"/>
    <col min="17" max="17" width="11.125" style="2" customWidth="1"/>
    <col min="18" max="18" width="13.375" style="2" customWidth="1"/>
    <col min="19" max="16384" width="9.125" style="2" customWidth="1"/>
  </cols>
  <sheetData>
    <row r="2" spans="1:18" ht="65.25" customHeight="1">
      <c r="A2" s="106" t="s">
        <v>121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</row>
    <row r="3" spans="1:18" ht="48.75" customHeight="1">
      <c r="A3" s="96" t="s">
        <v>2</v>
      </c>
      <c r="B3" s="93" t="s">
        <v>21</v>
      </c>
      <c r="C3" s="100" t="s">
        <v>64</v>
      </c>
      <c r="D3" s="38" t="s">
        <v>62</v>
      </c>
      <c r="E3" s="38" t="s">
        <v>34</v>
      </c>
      <c r="F3" s="38" t="s">
        <v>82</v>
      </c>
      <c r="G3" s="38" t="s">
        <v>32</v>
      </c>
      <c r="H3" s="38" t="s">
        <v>77</v>
      </c>
      <c r="I3" s="114" t="s">
        <v>61</v>
      </c>
      <c r="J3" s="115"/>
      <c r="K3" s="114" t="s">
        <v>60</v>
      </c>
      <c r="L3" s="115"/>
      <c r="M3" s="38" t="s">
        <v>33</v>
      </c>
      <c r="N3" s="38" t="s">
        <v>85</v>
      </c>
      <c r="O3" s="38" t="s">
        <v>86</v>
      </c>
      <c r="P3" s="38" t="s">
        <v>23</v>
      </c>
      <c r="Q3" s="38" t="s">
        <v>83</v>
      </c>
      <c r="R3" s="38" t="s">
        <v>57</v>
      </c>
    </row>
    <row r="4" spans="1:18" s="1" customFormat="1" ht="26.25" customHeight="1">
      <c r="A4" s="96"/>
      <c r="B4" s="93"/>
      <c r="C4" s="102"/>
      <c r="D4" s="15" t="s">
        <v>28</v>
      </c>
      <c r="E4" s="15" t="s">
        <v>28</v>
      </c>
      <c r="F4" s="15" t="s">
        <v>28</v>
      </c>
      <c r="G4" s="15" t="s">
        <v>41</v>
      </c>
      <c r="H4" s="15" t="s">
        <v>41</v>
      </c>
      <c r="I4" s="15" t="s">
        <v>31</v>
      </c>
      <c r="J4" s="15" t="s">
        <v>29</v>
      </c>
      <c r="K4" s="15" t="s">
        <v>29</v>
      </c>
      <c r="L4" s="15" t="s">
        <v>31</v>
      </c>
      <c r="M4" s="15" t="s">
        <v>29</v>
      </c>
      <c r="N4" s="15" t="s">
        <v>31</v>
      </c>
      <c r="O4" s="15" t="s">
        <v>31</v>
      </c>
      <c r="P4" s="15" t="s">
        <v>31</v>
      </c>
      <c r="Q4" s="15" t="s">
        <v>84</v>
      </c>
      <c r="R4" s="15" t="s">
        <v>58</v>
      </c>
    </row>
    <row r="5" spans="1:18" ht="33.75" customHeight="1">
      <c r="A5" s="97" t="s">
        <v>10</v>
      </c>
      <c r="B5" s="98"/>
      <c r="C5" s="12"/>
      <c r="D5" s="21">
        <f aca="true" t="shared" si="0" ref="D5:R5">SUM(D6:D18)</f>
        <v>330000</v>
      </c>
      <c r="E5" s="21">
        <f t="shared" si="0"/>
        <v>0</v>
      </c>
      <c r="F5" s="21">
        <f t="shared" si="0"/>
        <v>20000</v>
      </c>
      <c r="G5" s="21">
        <f t="shared" si="0"/>
        <v>200000</v>
      </c>
      <c r="H5" s="21">
        <f t="shared" si="0"/>
        <v>2000000</v>
      </c>
      <c r="I5" s="21">
        <f t="shared" si="0"/>
        <v>50</v>
      </c>
      <c r="J5" s="21">
        <f t="shared" si="0"/>
        <v>60000</v>
      </c>
      <c r="K5" s="21">
        <f t="shared" si="0"/>
        <v>50000</v>
      </c>
      <c r="L5" s="21">
        <f t="shared" si="0"/>
        <v>30</v>
      </c>
      <c r="M5" s="21">
        <f t="shared" si="0"/>
        <v>50000</v>
      </c>
      <c r="N5" s="21">
        <f t="shared" si="0"/>
        <v>50</v>
      </c>
      <c r="O5" s="21">
        <f t="shared" si="0"/>
        <v>85</v>
      </c>
      <c r="P5" s="21">
        <f>SUM(P6:P18)</f>
        <v>17</v>
      </c>
      <c r="Q5" s="21">
        <f t="shared" si="0"/>
        <v>550</v>
      </c>
      <c r="R5" s="21">
        <f t="shared" si="0"/>
        <v>9050000</v>
      </c>
    </row>
    <row r="6" spans="1:18" ht="36.75" customHeight="1" hidden="1">
      <c r="A6" s="8">
        <v>1</v>
      </c>
      <c r="B6" s="9" t="s">
        <v>7</v>
      </c>
      <c r="C6" s="25" t="str">
        <f>'K.Phi'!C7</f>
        <v>7584/UBND-NN ngày 31/10/2020</v>
      </c>
      <c r="D6" s="22"/>
      <c r="E6" s="22"/>
      <c r="F6" s="22"/>
      <c r="G6" s="24"/>
      <c r="H6" s="24"/>
      <c r="I6" s="24"/>
      <c r="J6" s="22"/>
      <c r="K6" s="22"/>
      <c r="L6" s="22"/>
      <c r="M6" s="24"/>
      <c r="N6" s="24"/>
      <c r="O6" s="22"/>
      <c r="P6" s="22"/>
      <c r="Q6" s="22"/>
      <c r="R6" s="22"/>
    </row>
    <row r="7" spans="1:18" ht="36.75" customHeight="1" hidden="1">
      <c r="A7" s="8">
        <v>2</v>
      </c>
      <c r="B7" s="9" t="s">
        <v>8</v>
      </c>
      <c r="C7" s="25" t="str">
        <f>'K.Phi'!C8</f>
        <v>404/TTr-UBND ngày 06/11/2020</v>
      </c>
      <c r="D7" s="22"/>
      <c r="E7" s="22"/>
      <c r="F7" s="22"/>
      <c r="G7" s="24"/>
      <c r="H7" s="24"/>
      <c r="I7" s="24"/>
      <c r="J7" s="22"/>
      <c r="K7" s="22"/>
      <c r="L7" s="22"/>
      <c r="M7" s="24"/>
      <c r="N7" s="24"/>
      <c r="O7" s="22"/>
      <c r="P7" s="22"/>
      <c r="Q7" s="22"/>
      <c r="R7" s="22"/>
    </row>
    <row r="8" spans="1:18" ht="34.5" customHeight="1">
      <c r="A8" s="8">
        <v>1</v>
      </c>
      <c r="B8" s="9" t="s">
        <v>11</v>
      </c>
      <c r="C8" s="25" t="str">
        <f>'K.Phi'!C9</f>
        <v>264/BC-UBND ngày 05/11/2020</v>
      </c>
      <c r="D8" s="22">
        <v>80000</v>
      </c>
      <c r="E8" s="22"/>
      <c r="F8" s="22">
        <v>20000</v>
      </c>
      <c r="G8" s="24"/>
      <c r="H8" s="24">
        <v>2000000</v>
      </c>
      <c r="I8" s="24"/>
      <c r="J8" s="22">
        <v>20000</v>
      </c>
      <c r="K8" s="22">
        <v>20000</v>
      </c>
      <c r="L8" s="22"/>
      <c r="M8" s="24"/>
      <c r="N8" s="24"/>
      <c r="O8" s="22"/>
      <c r="P8" s="22">
        <v>5</v>
      </c>
      <c r="Q8" s="22">
        <v>100</v>
      </c>
      <c r="R8" s="22">
        <v>5000000</v>
      </c>
    </row>
    <row r="9" spans="1:18" s="91" customFormat="1" ht="66">
      <c r="A9" s="87">
        <v>2</v>
      </c>
      <c r="B9" s="88" t="s">
        <v>1</v>
      </c>
      <c r="C9" s="89" t="str">
        <f>'K.Phi'!C10</f>
        <v>5058/TTr-UBND ngày 5/11/2020 và 254/BC-UBND ngày 11/11/2020</v>
      </c>
      <c r="D9" s="86"/>
      <c r="E9" s="86"/>
      <c r="F9" s="86"/>
      <c r="G9" s="90"/>
      <c r="H9" s="90"/>
      <c r="I9" s="90"/>
      <c r="J9" s="86">
        <v>20000</v>
      </c>
      <c r="K9" s="86">
        <v>30000</v>
      </c>
      <c r="L9" s="86"/>
      <c r="M9" s="90">
        <v>30000</v>
      </c>
      <c r="N9" s="90"/>
      <c r="O9" s="86"/>
      <c r="P9" s="86">
        <v>5</v>
      </c>
      <c r="Q9" s="86">
        <v>300</v>
      </c>
      <c r="R9" s="86"/>
    </row>
    <row r="10" spans="1:18" ht="36.75" customHeight="1" hidden="1">
      <c r="A10" s="8">
        <v>3</v>
      </c>
      <c r="B10" s="9" t="s">
        <v>19</v>
      </c>
      <c r="C10" s="25" t="str">
        <f>'K.Phi'!C11</f>
        <v>372/BC-UBND ngày 04/11/2020</v>
      </c>
      <c r="D10" s="22"/>
      <c r="E10" s="22"/>
      <c r="F10" s="22"/>
      <c r="G10" s="24"/>
      <c r="H10" s="24"/>
      <c r="I10" s="24"/>
      <c r="J10" s="22"/>
      <c r="K10" s="22"/>
      <c r="L10" s="22"/>
      <c r="M10" s="24"/>
      <c r="N10" s="24"/>
      <c r="O10" s="22"/>
      <c r="P10" s="22"/>
      <c r="Q10" s="22"/>
      <c r="R10" s="22"/>
    </row>
    <row r="11" spans="1:18" ht="39.75" customHeight="1">
      <c r="A11" s="8">
        <v>3</v>
      </c>
      <c r="B11" s="9" t="s">
        <v>3</v>
      </c>
      <c r="C11" s="25" t="str">
        <f>'K.Phi'!C12</f>
        <v>6492/UBND-KTN ngày 04/11/2020</v>
      </c>
      <c r="D11" s="22"/>
      <c r="E11" s="22"/>
      <c r="F11" s="22"/>
      <c r="G11" s="24"/>
      <c r="H11" s="24"/>
      <c r="I11" s="24"/>
      <c r="J11" s="22"/>
      <c r="K11" s="22"/>
      <c r="L11" s="22">
        <v>30</v>
      </c>
      <c r="M11" s="24"/>
      <c r="N11" s="24"/>
      <c r="O11" s="22">
        <v>15</v>
      </c>
      <c r="P11" s="22">
        <v>2</v>
      </c>
      <c r="Q11" s="22">
        <v>50</v>
      </c>
      <c r="R11" s="22">
        <v>4000000</v>
      </c>
    </row>
    <row r="12" spans="1:18" ht="36.75" customHeight="1">
      <c r="A12" s="8">
        <v>4</v>
      </c>
      <c r="B12" s="9" t="s">
        <v>0</v>
      </c>
      <c r="C12" s="25" t="str">
        <f>'K.Phi'!C13</f>
        <v>215/BC-UBND ngày 04/11/2020</v>
      </c>
      <c r="D12" s="22"/>
      <c r="E12" s="22"/>
      <c r="F12" s="22"/>
      <c r="G12" s="24"/>
      <c r="H12" s="24"/>
      <c r="I12" s="24"/>
      <c r="J12" s="22"/>
      <c r="K12" s="22"/>
      <c r="L12" s="22"/>
      <c r="M12" s="24"/>
      <c r="N12" s="24"/>
      <c r="O12" s="22"/>
      <c r="P12" s="22">
        <v>5</v>
      </c>
      <c r="Q12" s="22">
        <v>100</v>
      </c>
      <c r="R12" s="22">
        <v>50000</v>
      </c>
    </row>
    <row r="13" spans="1:18" s="91" customFormat="1" ht="36.75" customHeight="1">
      <c r="A13" s="87">
        <v>5</v>
      </c>
      <c r="B13" s="88" t="s">
        <v>4</v>
      </c>
      <c r="C13" s="89" t="str">
        <f>'K.Phi'!C14</f>
        <v>197/BC-UBND ngày 06/11/2020</v>
      </c>
      <c r="D13" s="86">
        <v>200000</v>
      </c>
      <c r="E13" s="86"/>
      <c r="F13" s="86"/>
      <c r="G13" s="90">
        <v>200000</v>
      </c>
      <c r="H13" s="90"/>
      <c r="I13" s="90">
        <v>50</v>
      </c>
      <c r="J13" s="86"/>
      <c r="K13" s="86"/>
      <c r="L13" s="86"/>
      <c r="M13" s="90"/>
      <c r="N13" s="90">
        <v>50</v>
      </c>
      <c r="O13" s="86">
        <v>50</v>
      </c>
      <c r="P13" s="86"/>
      <c r="Q13" s="86"/>
      <c r="R13" s="86"/>
    </row>
    <row r="14" spans="1:18" ht="36.75" customHeight="1">
      <c r="A14" s="8">
        <v>6</v>
      </c>
      <c r="B14" s="9" t="s">
        <v>5</v>
      </c>
      <c r="C14" s="25" t="str">
        <f>'K.Phi'!C16</f>
        <v>230/BC-UBND ngày 1/11/2020</v>
      </c>
      <c r="D14" s="22">
        <f>50000</f>
        <v>50000</v>
      </c>
      <c r="E14" s="22"/>
      <c r="F14" s="22"/>
      <c r="G14" s="24"/>
      <c r="H14" s="24"/>
      <c r="I14" s="24"/>
      <c r="J14" s="22">
        <f>20000</f>
        <v>20000</v>
      </c>
      <c r="K14" s="22"/>
      <c r="L14" s="22"/>
      <c r="M14" s="24">
        <f>20000</f>
        <v>20000</v>
      </c>
      <c r="N14" s="24"/>
      <c r="O14" s="22">
        <f>20</f>
        <v>20</v>
      </c>
      <c r="P14" s="22"/>
      <c r="Q14" s="22"/>
      <c r="R14" s="22"/>
    </row>
    <row r="15" spans="1:18" ht="36.75" customHeight="1" hidden="1">
      <c r="A15" s="68">
        <v>7</v>
      </c>
      <c r="B15" s="69" t="s">
        <v>14</v>
      </c>
      <c r="C15" s="72" t="str">
        <f>'K.Phi'!C15</f>
        <v>334/BC-UBND ngày 07/11/2020</v>
      </c>
      <c r="D15" s="74"/>
      <c r="E15" s="74"/>
      <c r="F15" s="74"/>
      <c r="G15" s="77"/>
      <c r="H15" s="77"/>
      <c r="I15" s="77"/>
      <c r="J15" s="74"/>
      <c r="K15" s="74"/>
      <c r="L15" s="74"/>
      <c r="M15" s="77"/>
      <c r="N15" s="77"/>
      <c r="O15" s="74"/>
      <c r="P15" s="74"/>
      <c r="Q15" s="74"/>
      <c r="R15" s="74"/>
    </row>
    <row r="16" spans="1:18" ht="36.75" customHeight="1" hidden="1">
      <c r="A16" s="68">
        <v>8</v>
      </c>
      <c r="B16" s="69" t="s">
        <v>6</v>
      </c>
      <c r="C16" s="72" t="str">
        <f>'K.Phi'!C17</f>
        <v>2273/TTr-UBND ngày 06/11/2020</v>
      </c>
      <c r="D16" s="74"/>
      <c r="E16" s="74"/>
      <c r="F16" s="74"/>
      <c r="G16" s="78"/>
      <c r="H16" s="78"/>
      <c r="I16" s="78"/>
      <c r="J16" s="74"/>
      <c r="K16" s="74"/>
      <c r="L16" s="74"/>
      <c r="M16" s="78"/>
      <c r="N16" s="78"/>
      <c r="O16" s="74"/>
      <c r="P16" s="74"/>
      <c r="Q16" s="74"/>
      <c r="R16" s="74"/>
    </row>
    <row r="17" spans="1:18" ht="21.75" customHeight="1" hidden="1">
      <c r="A17" s="68">
        <v>9</v>
      </c>
      <c r="B17" s="69" t="s">
        <v>15</v>
      </c>
      <c r="C17" s="72" t="str">
        <f>'K.Phi'!C18</f>
        <v>103/TTr-UBND ngày 4/11/2020</v>
      </c>
      <c r="D17" s="74"/>
      <c r="E17" s="74"/>
      <c r="F17" s="74"/>
      <c r="G17" s="77"/>
      <c r="H17" s="77"/>
      <c r="I17" s="77"/>
      <c r="J17" s="74"/>
      <c r="K17" s="74"/>
      <c r="L17" s="74"/>
      <c r="M17" s="77"/>
      <c r="N17" s="77"/>
      <c r="O17" s="74"/>
      <c r="P17" s="74"/>
      <c r="Q17" s="74"/>
      <c r="R17" s="74"/>
    </row>
    <row r="18" spans="1:18" ht="21.75" customHeight="1" hidden="1">
      <c r="A18" s="68">
        <v>10</v>
      </c>
      <c r="B18" s="69" t="s">
        <v>20</v>
      </c>
      <c r="C18" s="72" t="str">
        <f>'K.Phi'!C19</f>
        <v>647/BC-UBND ngày 4/11/2020</v>
      </c>
      <c r="D18" s="74"/>
      <c r="E18" s="74"/>
      <c r="F18" s="74"/>
      <c r="G18" s="77"/>
      <c r="H18" s="77"/>
      <c r="I18" s="77"/>
      <c r="J18" s="74"/>
      <c r="K18" s="74"/>
      <c r="L18" s="74"/>
      <c r="M18" s="77"/>
      <c r="N18" s="77"/>
      <c r="O18" s="74"/>
      <c r="P18" s="74"/>
      <c r="Q18" s="74"/>
      <c r="R18" s="74"/>
    </row>
  </sheetData>
  <sheetProtection/>
  <mergeCells count="7">
    <mergeCell ref="A2:R2"/>
    <mergeCell ref="A3:A4"/>
    <mergeCell ref="B3:B4"/>
    <mergeCell ref="A5:B5"/>
    <mergeCell ref="C3:C4"/>
    <mergeCell ref="K3:L3"/>
    <mergeCell ref="I3:J3"/>
  </mergeCells>
  <printOptions/>
  <pageMargins left="0.56" right="0.23" top="0.47" bottom="0.39" header="0.3" footer="0.3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Q22"/>
  <sheetViews>
    <sheetView tabSelected="1" zoomScale="70" zoomScaleNormal="7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T15" sqref="T15"/>
    </sheetView>
  </sheetViews>
  <sheetFormatPr defaultColWidth="9.00390625" defaultRowHeight="12.75"/>
  <cols>
    <col min="1" max="1" width="8.125" style="41" customWidth="1"/>
    <col min="2" max="2" width="18.00390625" style="41" customWidth="1"/>
    <col min="3" max="3" width="20.75390625" style="65" customWidth="1"/>
    <col min="4" max="4" width="13.25390625" style="41" customWidth="1"/>
    <col min="5" max="6" width="15.75390625" style="41" customWidth="1"/>
    <col min="7" max="8" width="14.00390625" style="41" customWidth="1"/>
    <col min="9" max="11" width="15.25390625" style="41" customWidth="1"/>
    <col min="12" max="12" width="19.875" style="41" hidden="1" customWidth="1"/>
    <col min="13" max="13" width="24.125" style="41" hidden="1" customWidth="1"/>
    <col min="14" max="14" width="19.875" style="41" hidden="1" customWidth="1"/>
    <col min="15" max="15" width="19.875" style="42" hidden="1" customWidth="1"/>
    <col min="16" max="17" width="19.875" style="41" hidden="1" customWidth="1"/>
    <col min="18" max="18" width="24.75390625" style="41" customWidth="1"/>
    <col min="19" max="16384" width="9.125" style="41" customWidth="1"/>
  </cols>
  <sheetData>
    <row r="2" spans="1:12" ht="90" customHeight="1">
      <c r="A2" s="119" t="s">
        <v>124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40"/>
    </row>
    <row r="3" spans="1:17" ht="27.75" customHeight="1">
      <c r="A3" s="118" t="s">
        <v>2</v>
      </c>
      <c r="B3" s="120" t="s">
        <v>21</v>
      </c>
      <c r="C3" s="120" t="s">
        <v>64</v>
      </c>
      <c r="D3" s="116" t="s">
        <v>72</v>
      </c>
      <c r="E3" s="116"/>
      <c r="F3" s="116"/>
      <c r="G3" s="116"/>
      <c r="H3" s="116"/>
      <c r="I3" s="116"/>
      <c r="J3" s="116"/>
      <c r="K3" s="116"/>
      <c r="L3" s="44"/>
      <c r="M3" s="44"/>
      <c r="N3" s="44"/>
      <c r="O3" s="44"/>
      <c r="P3" s="44"/>
      <c r="Q3" s="45"/>
    </row>
    <row r="4" spans="1:17" ht="27.75" customHeight="1">
      <c r="A4" s="118"/>
      <c r="B4" s="120"/>
      <c r="C4" s="120"/>
      <c r="D4" s="117" t="s">
        <v>102</v>
      </c>
      <c r="E4" s="117"/>
      <c r="F4" s="117"/>
      <c r="G4" s="117" t="s">
        <v>104</v>
      </c>
      <c r="H4" s="117"/>
      <c r="I4" s="117"/>
      <c r="J4" s="117"/>
      <c r="K4" s="117" t="s">
        <v>12</v>
      </c>
      <c r="L4" s="47" t="s">
        <v>90</v>
      </c>
      <c r="M4" s="48" t="s">
        <v>38</v>
      </c>
      <c r="N4" s="48" t="s">
        <v>91</v>
      </c>
      <c r="O4" s="46" t="s">
        <v>92</v>
      </c>
      <c r="P4" s="46" t="s">
        <v>93</v>
      </c>
      <c r="Q4" s="46" t="s">
        <v>94</v>
      </c>
    </row>
    <row r="5" spans="1:17" ht="38.25" customHeight="1">
      <c r="A5" s="118"/>
      <c r="B5" s="120"/>
      <c r="C5" s="120"/>
      <c r="D5" s="46" t="s">
        <v>95</v>
      </c>
      <c r="E5" s="46" t="s">
        <v>96</v>
      </c>
      <c r="F5" s="46" t="s">
        <v>38</v>
      </c>
      <c r="G5" s="46" t="s">
        <v>103</v>
      </c>
      <c r="H5" s="46" t="s">
        <v>105</v>
      </c>
      <c r="I5" s="46" t="s">
        <v>96</v>
      </c>
      <c r="J5" s="46" t="s">
        <v>38</v>
      </c>
      <c r="K5" s="117"/>
      <c r="L5" s="47"/>
      <c r="M5" s="48"/>
      <c r="N5" s="48"/>
      <c r="O5" s="49"/>
      <c r="P5" s="46"/>
      <c r="Q5" s="46"/>
    </row>
    <row r="6" spans="1:17" ht="24" customHeight="1">
      <c r="A6" s="118"/>
      <c r="B6" s="120"/>
      <c r="C6" s="120"/>
      <c r="D6" s="50" t="s">
        <v>24</v>
      </c>
      <c r="E6" s="50" t="s">
        <v>97</v>
      </c>
      <c r="F6" s="50" t="s">
        <v>9</v>
      </c>
      <c r="G6" s="50" t="s">
        <v>24</v>
      </c>
      <c r="H6" s="50" t="s">
        <v>24</v>
      </c>
      <c r="I6" s="50" t="s">
        <v>97</v>
      </c>
      <c r="J6" s="50" t="s">
        <v>9</v>
      </c>
      <c r="K6" s="50" t="s">
        <v>9</v>
      </c>
      <c r="L6" s="51" t="s">
        <v>9</v>
      </c>
      <c r="M6" s="50" t="s">
        <v>9</v>
      </c>
      <c r="N6" s="50" t="s">
        <v>9</v>
      </c>
      <c r="O6" s="52" t="s">
        <v>9</v>
      </c>
      <c r="P6" s="50"/>
      <c r="Q6" s="50"/>
    </row>
    <row r="7" spans="1:17" ht="24" customHeight="1">
      <c r="A7" s="118" t="s">
        <v>10</v>
      </c>
      <c r="B7" s="118"/>
      <c r="C7" s="43"/>
      <c r="D7" s="53">
        <f aca="true" t="shared" si="0" ref="D7:P7">SUM(D8:D16)</f>
        <v>1467</v>
      </c>
      <c r="E7" s="53"/>
      <c r="F7" s="54">
        <f t="shared" si="0"/>
        <v>58.68000000000001</v>
      </c>
      <c r="G7" s="53">
        <f>SUM(G8:G16)</f>
        <v>50216</v>
      </c>
      <c r="H7" s="53">
        <f>SUM(H8:H16)</f>
        <v>25110</v>
      </c>
      <c r="I7" s="53"/>
      <c r="J7" s="54">
        <f>SUM(J8:J16)</f>
        <v>251.10000000000002</v>
      </c>
      <c r="K7" s="55">
        <f>SUM(K8:K16)</f>
        <v>309.78000000000003</v>
      </c>
      <c r="L7" s="56">
        <f>SUM(L8:L16)</f>
        <v>560.8399999999999</v>
      </c>
      <c r="M7" s="53">
        <f t="shared" si="0"/>
        <v>782.5799999999999</v>
      </c>
      <c r="N7" s="54">
        <f t="shared" si="0"/>
        <v>280.41999999999996</v>
      </c>
      <c r="O7" s="53">
        <f t="shared" si="0"/>
        <v>50</v>
      </c>
      <c r="P7" s="53">
        <f t="shared" si="0"/>
        <v>197.6</v>
      </c>
      <c r="Q7" s="53"/>
    </row>
    <row r="8" spans="1:17" ht="40.5" customHeight="1">
      <c r="A8" s="57">
        <v>1</v>
      </c>
      <c r="B8" s="58" t="s">
        <v>7</v>
      </c>
      <c r="C8" s="48" t="str">
        <f>'[1]K.Phi'!C7</f>
        <v>7584/UBND-NN ngày 31/10/2020</v>
      </c>
      <c r="D8" s="59">
        <v>15</v>
      </c>
      <c r="E8" s="59">
        <v>40</v>
      </c>
      <c r="F8" s="60">
        <f>+D8*E8/1000</f>
        <v>0.6</v>
      </c>
      <c r="G8" s="59">
        <v>77</v>
      </c>
      <c r="H8" s="59">
        <f>+ROUND(G8/2,0)</f>
        <v>39</v>
      </c>
      <c r="I8" s="59">
        <v>10</v>
      </c>
      <c r="J8" s="61">
        <f>+I8*H8/1000</f>
        <v>0.39</v>
      </c>
      <c r="K8" s="62">
        <f aca="true" t="shared" si="1" ref="K8:K16">+F8+J8</f>
        <v>0.99</v>
      </c>
      <c r="L8" s="63">
        <f aca="true" t="shared" si="2" ref="L8:L16">+(D8*E8+G8*I8)/1000</f>
        <v>1.37</v>
      </c>
      <c r="M8" s="28">
        <f aca="true" t="shared" si="3" ref="M8:M20">(D8*20000000+G8*15000000)/1000000000</f>
        <v>1.455</v>
      </c>
      <c r="N8" s="28">
        <f>+L8*0.5</f>
        <v>0.685</v>
      </c>
      <c r="O8" s="64">
        <v>0</v>
      </c>
      <c r="P8" s="28"/>
      <c r="Q8" s="28" t="s">
        <v>98</v>
      </c>
    </row>
    <row r="9" spans="1:17" ht="40.5" customHeight="1">
      <c r="A9" s="57">
        <v>2</v>
      </c>
      <c r="B9" s="58" t="s">
        <v>8</v>
      </c>
      <c r="C9" s="48" t="str">
        <f>'[1]K.Phi'!C8</f>
        <v>394/BC-UBND ngày 29/10/2020</v>
      </c>
      <c r="D9" s="59">
        <f>21+20+1</f>
        <v>42</v>
      </c>
      <c r="E9" s="59">
        <v>40</v>
      </c>
      <c r="F9" s="60">
        <f aca="true" t="shared" si="4" ref="F9:F16">+D9*E9/1000</f>
        <v>1.68</v>
      </c>
      <c r="G9" s="59">
        <f>5+235+343+76+376+203</f>
        <v>1238</v>
      </c>
      <c r="H9" s="59">
        <f aca="true" t="shared" si="5" ref="H9:H16">+ROUND(G9/2,0)</f>
        <v>619</v>
      </c>
      <c r="I9" s="59">
        <v>10</v>
      </c>
      <c r="J9" s="61">
        <f aca="true" t="shared" si="6" ref="J9:J16">+I9*H9/1000</f>
        <v>6.19</v>
      </c>
      <c r="K9" s="62">
        <f t="shared" si="1"/>
        <v>7.87</v>
      </c>
      <c r="L9" s="63">
        <f t="shared" si="2"/>
        <v>14.06</v>
      </c>
      <c r="M9" s="28">
        <f t="shared" si="3"/>
        <v>19.41</v>
      </c>
      <c r="N9" s="28">
        <f aca="true" t="shared" si="7" ref="N9:N16">+L9*0.5</f>
        <v>7.03</v>
      </c>
      <c r="O9" s="64">
        <v>0</v>
      </c>
      <c r="P9" s="28"/>
      <c r="Q9" s="28" t="s">
        <v>98</v>
      </c>
    </row>
    <row r="10" spans="1:17" ht="40.5" customHeight="1">
      <c r="A10" s="57">
        <v>3</v>
      </c>
      <c r="B10" s="58" t="s">
        <v>11</v>
      </c>
      <c r="C10" s="48" t="str">
        <f>+'K.Phi'!C9</f>
        <v>264/BC-UBND ngày 05/11/2020</v>
      </c>
      <c r="D10" s="59">
        <v>104</v>
      </c>
      <c r="E10" s="59">
        <v>40</v>
      </c>
      <c r="F10" s="60">
        <f t="shared" si="4"/>
        <v>4.16</v>
      </c>
      <c r="G10" s="59">
        <f>49+75+1+13</f>
        <v>138</v>
      </c>
      <c r="H10" s="59">
        <f t="shared" si="5"/>
        <v>69</v>
      </c>
      <c r="I10" s="59">
        <v>10</v>
      </c>
      <c r="J10" s="61">
        <f t="shared" si="6"/>
        <v>0.69</v>
      </c>
      <c r="K10" s="62">
        <f t="shared" si="1"/>
        <v>4.85</v>
      </c>
      <c r="L10" s="63">
        <f t="shared" si="2"/>
        <v>5.54</v>
      </c>
      <c r="M10" s="28">
        <f t="shared" si="3"/>
        <v>4.15</v>
      </c>
      <c r="N10" s="28">
        <f t="shared" si="7"/>
        <v>2.77</v>
      </c>
      <c r="O10" s="64">
        <v>50</v>
      </c>
      <c r="P10" s="28">
        <f>+N10</f>
        <v>2.77</v>
      </c>
      <c r="Q10" s="28"/>
    </row>
    <row r="11" spans="1:17" ht="40.5" customHeight="1">
      <c r="A11" s="57">
        <v>4</v>
      </c>
      <c r="B11" s="58" t="s">
        <v>1</v>
      </c>
      <c r="C11" s="48" t="str">
        <f>'[1]K.Phi'!C10</f>
        <v>249/BC-UBND ngày 4/11/2020</v>
      </c>
      <c r="D11" s="59">
        <v>55</v>
      </c>
      <c r="E11" s="59">
        <v>40</v>
      </c>
      <c r="F11" s="60">
        <f t="shared" si="4"/>
        <v>2.2</v>
      </c>
      <c r="G11" s="59">
        <f>64+95</f>
        <v>159</v>
      </c>
      <c r="H11" s="59">
        <f t="shared" si="5"/>
        <v>80</v>
      </c>
      <c r="I11" s="59">
        <v>10</v>
      </c>
      <c r="J11" s="61">
        <f t="shared" si="6"/>
        <v>0.8</v>
      </c>
      <c r="K11" s="62">
        <f t="shared" si="1"/>
        <v>3</v>
      </c>
      <c r="L11" s="63">
        <f t="shared" si="2"/>
        <v>3.79</v>
      </c>
      <c r="M11" s="28">
        <f t="shared" si="3"/>
        <v>3.485</v>
      </c>
      <c r="N11" s="28">
        <f t="shared" si="7"/>
        <v>1.895</v>
      </c>
      <c r="O11" s="64" t="s">
        <v>99</v>
      </c>
      <c r="P11" s="28">
        <f>+N11</f>
        <v>1.895</v>
      </c>
      <c r="Q11" s="28"/>
    </row>
    <row r="12" spans="1:17" ht="40.5" customHeight="1">
      <c r="A12" s="57">
        <v>5</v>
      </c>
      <c r="B12" s="58" t="s">
        <v>19</v>
      </c>
      <c r="C12" s="48" t="str">
        <f>'[1]K.Phi'!C11</f>
        <v>372/BC-UBND ngày 04/11/2020</v>
      </c>
      <c r="D12" s="59">
        <f>40</f>
        <v>40</v>
      </c>
      <c r="E12" s="59">
        <v>40</v>
      </c>
      <c r="F12" s="60">
        <f t="shared" si="4"/>
        <v>1.6</v>
      </c>
      <c r="G12" s="59">
        <f>1880+970+551</f>
        <v>3401</v>
      </c>
      <c r="H12" s="59">
        <f t="shared" si="5"/>
        <v>1701</v>
      </c>
      <c r="I12" s="59">
        <v>10</v>
      </c>
      <c r="J12" s="61">
        <f t="shared" si="6"/>
        <v>17.01</v>
      </c>
      <c r="K12" s="62">
        <f t="shared" si="1"/>
        <v>18.610000000000003</v>
      </c>
      <c r="L12" s="63">
        <f t="shared" si="2"/>
        <v>35.61</v>
      </c>
      <c r="M12" s="28">
        <f t="shared" si="3"/>
        <v>51.815</v>
      </c>
      <c r="N12" s="28">
        <f t="shared" si="7"/>
        <v>17.805</v>
      </c>
      <c r="O12" s="64" t="s">
        <v>99</v>
      </c>
      <c r="P12" s="28">
        <f>+N12</f>
        <v>17.805</v>
      </c>
      <c r="Q12" s="28" t="s">
        <v>100</v>
      </c>
    </row>
    <row r="13" spans="1:17" ht="40.5" customHeight="1">
      <c r="A13" s="57">
        <v>6</v>
      </c>
      <c r="B13" s="58" t="s">
        <v>3</v>
      </c>
      <c r="C13" s="48" t="str">
        <f>'[1]K.Phi'!C12</f>
        <v>6492/UBND-KTN ngày 04/11/2020</v>
      </c>
      <c r="D13" s="59">
        <v>686</v>
      </c>
      <c r="E13" s="59">
        <v>40</v>
      </c>
      <c r="F13" s="60">
        <f t="shared" si="4"/>
        <v>27.44</v>
      </c>
      <c r="G13" s="59">
        <f>1596+10529</f>
        <v>12125</v>
      </c>
      <c r="H13" s="59">
        <f t="shared" si="5"/>
        <v>6063</v>
      </c>
      <c r="I13" s="59">
        <v>10</v>
      </c>
      <c r="J13" s="61">
        <f t="shared" si="6"/>
        <v>60.63</v>
      </c>
      <c r="K13" s="62">
        <f t="shared" si="1"/>
        <v>88.07000000000001</v>
      </c>
      <c r="L13" s="63">
        <f t="shared" si="2"/>
        <v>148.69</v>
      </c>
      <c r="M13" s="28">
        <f t="shared" si="3"/>
        <v>195.595</v>
      </c>
      <c r="N13" s="28">
        <f t="shared" si="7"/>
        <v>74.345</v>
      </c>
      <c r="O13" s="64">
        <v>0</v>
      </c>
      <c r="P13" s="28"/>
      <c r="Q13" s="28" t="s">
        <v>98</v>
      </c>
    </row>
    <row r="14" spans="1:17" ht="40.5" customHeight="1">
      <c r="A14" s="57">
        <v>7</v>
      </c>
      <c r="B14" s="58" t="s">
        <v>0</v>
      </c>
      <c r="C14" s="48" t="str">
        <f>'[1]K.Phi'!C13</f>
        <v>215/BC-UBND ngày 04/11/2020</v>
      </c>
      <c r="D14" s="59">
        <f>433</f>
        <v>433</v>
      </c>
      <c r="E14" s="59">
        <v>40</v>
      </c>
      <c r="F14" s="60">
        <f t="shared" si="4"/>
        <v>17.32</v>
      </c>
      <c r="G14" s="59">
        <f>8217+21001</f>
        <v>29218</v>
      </c>
      <c r="H14" s="59">
        <f t="shared" si="5"/>
        <v>14609</v>
      </c>
      <c r="I14" s="59">
        <v>10</v>
      </c>
      <c r="J14" s="61">
        <f t="shared" si="6"/>
        <v>146.09</v>
      </c>
      <c r="K14" s="62">
        <f t="shared" si="1"/>
        <v>163.41</v>
      </c>
      <c r="L14" s="63">
        <f t="shared" si="2"/>
        <v>309.5</v>
      </c>
      <c r="M14" s="28">
        <f t="shared" si="3"/>
        <v>446.93</v>
      </c>
      <c r="N14" s="28">
        <f t="shared" si="7"/>
        <v>154.75</v>
      </c>
      <c r="O14" s="64" t="s">
        <v>99</v>
      </c>
      <c r="P14" s="28">
        <f>+N14</f>
        <v>154.75</v>
      </c>
      <c r="Q14" s="28" t="s">
        <v>101</v>
      </c>
    </row>
    <row r="15" spans="1:17" ht="40.5" customHeight="1">
      <c r="A15" s="57">
        <v>8</v>
      </c>
      <c r="B15" s="58" t="s">
        <v>4</v>
      </c>
      <c r="C15" s="48" t="str">
        <f>+'K.Phi'!C14</f>
        <v>197/BC-UBND ngày 06/11/2020</v>
      </c>
      <c r="D15" s="59">
        <f>71</f>
        <v>71</v>
      </c>
      <c r="E15" s="59">
        <v>40</v>
      </c>
      <c r="F15" s="60">
        <f t="shared" si="4"/>
        <v>2.84</v>
      </c>
      <c r="G15" s="59">
        <v>3792</v>
      </c>
      <c r="H15" s="59">
        <f t="shared" si="5"/>
        <v>1896</v>
      </c>
      <c r="I15" s="59">
        <v>10</v>
      </c>
      <c r="J15" s="61">
        <f t="shared" si="6"/>
        <v>18.96</v>
      </c>
      <c r="K15" s="62">
        <f t="shared" si="1"/>
        <v>21.8</v>
      </c>
      <c r="L15" s="63">
        <f t="shared" si="2"/>
        <v>40.76</v>
      </c>
      <c r="M15" s="28">
        <f t="shared" si="3"/>
        <v>58.3</v>
      </c>
      <c r="N15" s="28">
        <f t="shared" si="7"/>
        <v>20.38</v>
      </c>
      <c r="O15" s="64"/>
      <c r="P15" s="28">
        <f>+N15</f>
        <v>20.38</v>
      </c>
      <c r="Q15" s="28" t="s">
        <v>100</v>
      </c>
    </row>
    <row r="16" spans="1:17" ht="40.5" customHeight="1">
      <c r="A16" s="57">
        <v>9</v>
      </c>
      <c r="B16" s="58" t="s">
        <v>14</v>
      </c>
      <c r="C16" s="48" t="s">
        <v>122</v>
      </c>
      <c r="D16" s="59">
        <v>21</v>
      </c>
      <c r="E16" s="59">
        <v>40</v>
      </c>
      <c r="F16" s="60">
        <f t="shared" si="4"/>
        <v>0.84</v>
      </c>
      <c r="G16" s="59">
        <f>28+40</f>
        <v>68</v>
      </c>
      <c r="H16" s="59">
        <f t="shared" si="5"/>
        <v>34</v>
      </c>
      <c r="I16" s="59">
        <v>10</v>
      </c>
      <c r="J16" s="61">
        <f t="shared" si="6"/>
        <v>0.34</v>
      </c>
      <c r="K16" s="62">
        <f t="shared" si="1"/>
        <v>1.18</v>
      </c>
      <c r="L16" s="63">
        <f t="shared" si="2"/>
        <v>1.52</v>
      </c>
      <c r="M16" s="28">
        <f t="shared" si="3"/>
        <v>1.44</v>
      </c>
      <c r="N16" s="28">
        <f t="shared" si="7"/>
        <v>0.76</v>
      </c>
      <c r="O16" s="64"/>
      <c r="P16" s="28"/>
      <c r="Q16" s="28" t="s">
        <v>98</v>
      </c>
    </row>
    <row r="17" spans="1:17" ht="40.5" customHeight="1" hidden="1">
      <c r="A17" s="57">
        <v>10</v>
      </c>
      <c r="B17" s="58" t="s">
        <v>5</v>
      </c>
      <c r="C17" s="48" t="str">
        <f>'[1]K.Phi'!C15</f>
        <v>230/BC-UBND ngày 1/11/2020</v>
      </c>
      <c r="D17" s="59">
        <f>6</f>
        <v>6</v>
      </c>
      <c r="E17" s="59"/>
      <c r="F17" s="59"/>
      <c r="G17" s="59">
        <f>14+84</f>
        <v>98</v>
      </c>
      <c r="H17" s="59"/>
      <c r="I17" s="59"/>
      <c r="J17" s="59">
        <f>+G17*I17/1000</f>
        <v>0</v>
      </c>
      <c r="K17" s="59"/>
      <c r="L17" s="28">
        <f>(D17*40000000+G17*10000000)/1000000000</f>
        <v>1.22</v>
      </c>
      <c r="M17" s="28">
        <f t="shared" si="3"/>
        <v>1.59</v>
      </c>
      <c r="N17" s="28">
        <f>+ROUND(L17*0.7,0)</f>
        <v>1</v>
      </c>
      <c r="O17" s="64"/>
      <c r="P17" s="28"/>
      <c r="Q17" s="28"/>
    </row>
    <row r="18" spans="1:17" ht="40.5" customHeight="1" hidden="1">
      <c r="A18" s="57">
        <v>11</v>
      </c>
      <c r="B18" s="58" t="s">
        <v>6</v>
      </c>
      <c r="C18" s="48" t="str">
        <f>'[1]K.Phi'!C17</f>
        <v>2224/TTr-UBND ngày 30/10/2020</v>
      </c>
      <c r="D18" s="59">
        <f>15</f>
        <v>15</v>
      </c>
      <c r="E18" s="59"/>
      <c r="F18" s="59"/>
      <c r="G18" s="59">
        <f>690</f>
        <v>690</v>
      </c>
      <c r="H18" s="59"/>
      <c r="I18" s="59"/>
      <c r="J18" s="59">
        <f>+G18*I18/1000</f>
        <v>0</v>
      </c>
      <c r="K18" s="59"/>
      <c r="L18" s="28">
        <f>(D18*40000000+G18*10000000)/1000000000</f>
        <v>7.5</v>
      </c>
      <c r="M18" s="28">
        <f t="shared" si="3"/>
        <v>10.65</v>
      </c>
      <c r="N18" s="28">
        <f>+ROUND(L18*0.7,0)</f>
        <v>5</v>
      </c>
      <c r="O18" s="64"/>
      <c r="P18" s="28"/>
      <c r="Q18" s="28"/>
    </row>
    <row r="19" spans="1:17" ht="40.5" customHeight="1" hidden="1">
      <c r="A19" s="57">
        <v>12</v>
      </c>
      <c r="B19" s="58" t="s">
        <v>15</v>
      </c>
      <c r="C19" s="48">
        <f>'[1]K.Phi'!C18</f>
        <v>0</v>
      </c>
      <c r="D19" s="59"/>
      <c r="E19" s="59"/>
      <c r="F19" s="59"/>
      <c r="G19" s="59"/>
      <c r="H19" s="59"/>
      <c r="I19" s="59"/>
      <c r="J19" s="59">
        <f>+G19*I19/1000</f>
        <v>0</v>
      </c>
      <c r="K19" s="59"/>
      <c r="L19" s="28"/>
      <c r="M19" s="28">
        <f t="shared" si="3"/>
        <v>0</v>
      </c>
      <c r="N19" s="28">
        <f>+ROUND(L19*0.7,0)</f>
        <v>0</v>
      </c>
      <c r="O19" s="64"/>
      <c r="P19" s="28"/>
      <c r="Q19" s="28"/>
    </row>
    <row r="20" spans="1:17" ht="40.5" customHeight="1" hidden="1">
      <c r="A20" s="57">
        <v>13</v>
      </c>
      <c r="B20" s="58" t="s">
        <v>20</v>
      </c>
      <c r="C20" s="48">
        <f>'[1]K.Phi'!C19</f>
        <v>0</v>
      </c>
      <c r="D20" s="59"/>
      <c r="E20" s="59"/>
      <c r="F20" s="59"/>
      <c r="G20" s="59"/>
      <c r="H20" s="59"/>
      <c r="I20" s="59"/>
      <c r="J20" s="59">
        <f>+G20*I20/1000</f>
        <v>0</v>
      </c>
      <c r="K20" s="59"/>
      <c r="L20" s="28"/>
      <c r="M20" s="28">
        <f t="shared" si="3"/>
        <v>0</v>
      </c>
      <c r="N20" s="28">
        <f>+ROUND(L20*0.7,0)</f>
        <v>0</v>
      </c>
      <c r="O20" s="64"/>
      <c r="P20" s="28"/>
      <c r="Q20" s="28"/>
    </row>
    <row r="22" ht="18.75">
      <c r="B22" s="79" t="s">
        <v>123</v>
      </c>
    </row>
  </sheetData>
  <sheetProtection/>
  <mergeCells count="9">
    <mergeCell ref="D3:K3"/>
    <mergeCell ref="D4:F4"/>
    <mergeCell ref="G4:J4"/>
    <mergeCell ref="K4:K5"/>
    <mergeCell ref="A7:B7"/>
    <mergeCell ref="A2:K2"/>
    <mergeCell ref="A3:A6"/>
    <mergeCell ref="B3:B6"/>
    <mergeCell ref="C3:C6"/>
  </mergeCells>
  <printOptions/>
  <pageMargins left="1" right="0.2" top="0.62" bottom="0.35" header="0.3" footer="0.3"/>
  <pageSetup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D18"/>
  <sheetViews>
    <sheetView zoomScalePageLayoutView="0" workbookViewId="0" topLeftCell="A1">
      <selection activeCell="F7" sqref="F7"/>
    </sheetView>
  </sheetViews>
  <sheetFormatPr defaultColWidth="9.00390625" defaultRowHeight="12.75"/>
  <cols>
    <col min="1" max="1" width="8.125" style="2" customWidth="1"/>
    <col min="2" max="2" width="24.625" style="2" customWidth="1"/>
    <col min="3" max="3" width="25.75390625" style="2" customWidth="1"/>
    <col min="4" max="4" width="25.25390625" style="2" customWidth="1"/>
    <col min="5" max="16384" width="9.125" style="2" customWidth="1"/>
  </cols>
  <sheetData>
    <row r="2" spans="1:4" ht="57" customHeight="1">
      <c r="A2" s="113" t="s">
        <v>37</v>
      </c>
      <c r="B2" s="113"/>
      <c r="C2" s="113"/>
      <c r="D2" s="113"/>
    </row>
    <row r="3" spans="1:4" ht="27.75" customHeight="1">
      <c r="A3" s="96" t="s">
        <v>2</v>
      </c>
      <c r="B3" s="93" t="s">
        <v>21</v>
      </c>
      <c r="C3" s="5" t="s">
        <v>12</v>
      </c>
      <c r="D3" s="3" t="s">
        <v>36</v>
      </c>
    </row>
    <row r="4" spans="1:4" ht="18.75" customHeight="1">
      <c r="A4" s="96"/>
      <c r="B4" s="93"/>
      <c r="C4" s="7" t="s">
        <v>13</v>
      </c>
      <c r="D4" s="6" t="s">
        <v>13</v>
      </c>
    </row>
    <row r="5" spans="1:4" ht="24" customHeight="1">
      <c r="A5" s="97" t="s">
        <v>10</v>
      </c>
      <c r="B5" s="98"/>
      <c r="C5" s="14">
        <f>SUM(C6:C18)</f>
        <v>0</v>
      </c>
      <c r="D5" s="14">
        <f>SUM(D6:D18)</f>
        <v>0</v>
      </c>
    </row>
    <row r="6" spans="1:4" ht="21" customHeight="1">
      <c r="A6" s="8">
        <v>1</v>
      </c>
      <c r="B6" s="9" t="s">
        <v>7</v>
      </c>
      <c r="C6" s="13"/>
      <c r="D6" s="4"/>
    </row>
    <row r="7" spans="1:4" ht="21" customHeight="1">
      <c r="A7" s="8">
        <v>2</v>
      </c>
      <c r="B7" s="9" t="s">
        <v>8</v>
      </c>
      <c r="C7" s="13"/>
      <c r="D7" s="4"/>
    </row>
    <row r="8" spans="1:4" ht="21" customHeight="1">
      <c r="A8" s="8">
        <v>3</v>
      </c>
      <c r="B8" s="9" t="s">
        <v>11</v>
      </c>
      <c r="C8" s="13"/>
      <c r="D8" s="4"/>
    </row>
    <row r="9" spans="1:4" ht="21" customHeight="1">
      <c r="A9" s="8">
        <v>4</v>
      </c>
      <c r="B9" s="9" t="s">
        <v>1</v>
      </c>
      <c r="C9" s="13"/>
      <c r="D9" s="4"/>
    </row>
    <row r="10" spans="1:4" ht="21" customHeight="1">
      <c r="A10" s="8">
        <v>5</v>
      </c>
      <c r="B10" s="9" t="s">
        <v>19</v>
      </c>
      <c r="C10" s="13"/>
      <c r="D10" s="4"/>
    </row>
    <row r="11" spans="1:4" ht="21" customHeight="1">
      <c r="A11" s="8">
        <v>6</v>
      </c>
      <c r="B11" s="9" t="s">
        <v>3</v>
      </c>
      <c r="C11" s="13"/>
      <c r="D11" s="4"/>
    </row>
    <row r="12" spans="1:4" ht="21" customHeight="1">
      <c r="A12" s="8">
        <v>7</v>
      </c>
      <c r="B12" s="9" t="s">
        <v>0</v>
      </c>
      <c r="C12" s="13"/>
      <c r="D12" s="4"/>
    </row>
    <row r="13" spans="1:4" ht="21" customHeight="1">
      <c r="A13" s="8">
        <v>8</v>
      </c>
      <c r="B13" s="9" t="s">
        <v>4</v>
      </c>
      <c r="C13" s="13"/>
      <c r="D13" s="4"/>
    </row>
    <row r="14" spans="1:4" ht="21" customHeight="1">
      <c r="A14" s="8">
        <v>9</v>
      </c>
      <c r="B14" s="9" t="s">
        <v>5</v>
      </c>
      <c r="C14" s="13"/>
      <c r="D14" s="4"/>
    </row>
    <row r="15" spans="1:4" ht="21" customHeight="1">
      <c r="A15" s="8">
        <v>10</v>
      </c>
      <c r="B15" s="9" t="s">
        <v>14</v>
      </c>
      <c r="C15" s="13"/>
      <c r="D15" s="4"/>
    </row>
    <row r="16" spans="1:4" ht="21" customHeight="1">
      <c r="A16" s="8">
        <v>11</v>
      </c>
      <c r="B16" s="9" t="s">
        <v>6</v>
      </c>
      <c r="C16" s="13"/>
      <c r="D16" s="4"/>
    </row>
    <row r="17" spans="1:4" ht="21" customHeight="1">
      <c r="A17" s="8">
        <v>12</v>
      </c>
      <c r="B17" s="9" t="s">
        <v>15</v>
      </c>
      <c r="C17" s="13"/>
      <c r="D17" s="4"/>
    </row>
    <row r="18" spans="1:4" ht="21" customHeight="1">
      <c r="A18" s="8">
        <v>13</v>
      </c>
      <c r="B18" s="9" t="s">
        <v>20</v>
      </c>
      <c r="C18" s="13"/>
      <c r="D18" s="4"/>
    </row>
  </sheetData>
  <sheetProtection/>
  <mergeCells count="4">
    <mergeCell ref="A3:A4"/>
    <mergeCell ref="B3:B4"/>
    <mergeCell ref="A5:B5"/>
    <mergeCell ref="A2:D2"/>
  </mergeCells>
  <printOptions/>
  <pageMargins left="0.64" right="0.31" top="0.75" bottom="0.75" header="0.3" footer="0.3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 Hoang Informatics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ISTC9THD</dc:creator>
  <cp:keywords/>
  <dc:description/>
  <cp:lastModifiedBy>Windows User</cp:lastModifiedBy>
  <cp:lastPrinted>2020-11-15T07:51:26Z</cp:lastPrinted>
  <dcterms:created xsi:type="dcterms:W3CDTF">2007-04-19T15:18:17Z</dcterms:created>
  <dcterms:modified xsi:type="dcterms:W3CDTF">2020-11-15T19:35:20Z</dcterms:modified>
  <cp:category/>
  <cp:version/>
  <cp:contentType/>
  <cp:contentStatus/>
</cp:coreProperties>
</file>